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 Projekty\02 LESZNO Zachodnia Skrzydlata\Wersja elektroniczna PBW\ZACHODNIA\KO\"/>
    </mc:Choice>
  </mc:AlternateContent>
  <xr:revisionPtr revIDLastSave="0" documentId="13_ncr:1_{E0F1D941-79AA-4B13-BEE0-60D29ABF60AE}" xr6:coauthVersionLast="47" xr6:coauthVersionMax="47" xr10:uidLastSave="{00000000-0000-0000-0000-000000000000}"/>
  <bookViews>
    <workbookView xWindow="56250" yWindow="720" windowWidth="15855" windowHeight="18825" tabRatio="612" firstSheet="6" activeTab="6" xr2:uid="{00000000-000D-0000-FFFF-FFFF00000000}"/>
  </bookViews>
  <sheets>
    <sheet name="ZZK" sheetId="58" state="hidden" r:id="rId1"/>
    <sheet name="KI" sheetId="52" state="hidden" r:id="rId2"/>
    <sheet name="Przedmiar" sheetId="65" state="hidden" r:id="rId3"/>
    <sheet name="ZZK 2" sheetId="67" state="hidden" r:id="rId4"/>
    <sheet name="KI 2" sheetId="69" state="hidden" r:id="rId5"/>
    <sheet name="Przedmiar 2" sheetId="71" state="hidden" r:id="rId6"/>
    <sheet name="ZBIORCZA" sheetId="76" r:id="rId7"/>
    <sheet name="DROGI" sheetId="77" r:id="rId8"/>
    <sheet name="ELEKTRYCZNA" sheetId="78" r:id="rId9"/>
    <sheet name="KANALIZACJA" sheetId="81" r:id="rId10"/>
  </sheets>
  <externalReferences>
    <externalReference r:id="rId11"/>
  </externalReferences>
  <definedNames>
    <definedName name="bnsdfbsdifbsd" localSheetId="7">#REF!</definedName>
    <definedName name="bnsdfbsdifbsd" localSheetId="8">#REF!</definedName>
    <definedName name="bnsdfbsdifbsd" localSheetId="9">#REF!</definedName>
    <definedName name="bnsdfbsdifbsd" localSheetId="4">#REF!</definedName>
    <definedName name="bnsdfbsdifbsd" localSheetId="2">#REF!</definedName>
    <definedName name="bnsdfbsdifbsd" localSheetId="5">#REF!</definedName>
    <definedName name="bnsdfbsdifbsd" localSheetId="6">#REF!</definedName>
    <definedName name="bnsdfbsdifbsd" localSheetId="0">#REF!</definedName>
    <definedName name="bnsdfbsdifbsd" localSheetId="3">#REF!</definedName>
    <definedName name="bnsdfbsdifbsd">#REF!</definedName>
    <definedName name="dane" localSheetId="7">#REF!</definedName>
    <definedName name="dane" localSheetId="8">#REF!</definedName>
    <definedName name="dane" localSheetId="9">#REF!</definedName>
    <definedName name="dane" localSheetId="4">#REF!</definedName>
    <definedName name="dane" localSheetId="2">#REF!</definedName>
    <definedName name="dane" localSheetId="5">#REF!</definedName>
    <definedName name="dane" localSheetId="6">#REF!</definedName>
    <definedName name="dane" localSheetId="0">#REF!</definedName>
    <definedName name="dane" localSheetId="3">#REF!</definedName>
    <definedName name="dane">#REF!</definedName>
    <definedName name="deftrhtrehjntr4edanj" localSheetId="7">#REF!</definedName>
    <definedName name="deftrhtrehjntr4edanj" localSheetId="8">#REF!</definedName>
    <definedName name="deftrhtrehjntr4edanj" localSheetId="4">#REF!</definedName>
    <definedName name="deftrhtrehjntr4edanj" localSheetId="2">#REF!</definedName>
    <definedName name="deftrhtrehjntr4edanj" localSheetId="5">#REF!</definedName>
    <definedName name="deftrhtrehjntr4edanj" localSheetId="6">#REF!</definedName>
    <definedName name="deftrhtrehjntr4edanj" localSheetId="3">#REF!</definedName>
    <definedName name="deftrhtrehjntr4edanj">#REF!</definedName>
    <definedName name="Excel_BuiltIn_Print_Area_1" localSheetId="7">#REF!</definedName>
    <definedName name="Excel_BuiltIn_Print_Area_1" localSheetId="8">#REF!</definedName>
    <definedName name="Excel_BuiltIn_Print_Area_1" localSheetId="9">#REF!</definedName>
    <definedName name="Excel_BuiltIn_Print_Area_1" localSheetId="4">#REF!</definedName>
    <definedName name="Excel_BuiltIn_Print_Area_1" localSheetId="2">#REF!</definedName>
    <definedName name="Excel_BuiltIn_Print_Area_1" localSheetId="5">#REF!</definedName>
    <definedName name="Excel_BuiltIn_Print_Area_1" localSheetId="6">#REF!</definedName>
    <definedName name="Excel_BuiltIn_Print_Area_1" localSheetId="0">#REF!</definedName>
    <definedName name="Excel_BuiltIn_Print_Area_1" localSheetId="3">#REF!</definedName>
    <definedName name="Excel_BuiltIn_Print_Area_1">#REF!</definedName>
    <definedName name="kan" localSheetId="7">#REF!</definedName>
    <definedName name="kan" localSheetId="8">#REF!</definedName>
    <definedName name="kan" localSheetId="4">#REF!</definedName>
    <definedName name="kan" localSheetId="2">#REF!</definedName>
    <definedName name="kan" localSheetId="5">#REF!</definedName>
    <definedName name="kan" localSheetId="6">#REF!</definedName>
    <definedName name="kan" localSheetId="0">#REF!</definedName>
    <definedName name="kan" localSheetId="3">#REF!</definedName>
    <definedName name="kan">#REF!</definedName>
    <definedName name="kurs">4.2735</definedName>
    <definedName name="Leszno_kd_Wilkowicka" localSheetId="7">DROGI!#REF!</definedName>
    <definedName name="Leszno_kd_Wilkowicka" localSheetId="8">ELEKTRYCZNA!#REF!</definedName>
    <definedName name="_xlnm.Print_Area" localSheetId="7">DROGI!$A$1:$G$57</definedName>
    <definedName name="_xlnm.Print_Area" localSheetId="8">ELEKTRYCZNA!$A$1:$K$44</definedName>
    <definedName name="_xlnm.Print_Area" localSheetId="9">KANALIZACJA!$A$1:$G$73</definedName>
    <definedName name="_xlnm.Print_Area" localSheetId="1">KI!$A$1:$G$157</definedName>
    <definedName name="_xlnm.Print_Area" localSheetId="4">'KI 2'!$A$1:$G$82</definedName>
    <definedName name="_xlnm.Print_Area" localSheetId="2">Przedmiar!$A$1:$E$135</definedName>
    <definedName name="_xlnm.Print_Area" localSheetId="5">'Przedmiar 2'!$A$1:$E$70</definedName>
    <definedName name="_xlnm.Print_Area" localSheetId="6">ZBIORCZA!$A$1:$D$34</definedName>
    <definedName name="_xlnm.Print_Area" localSheetId="0">ZZK!$A$1:$I$42</definedName>
    <definedName name="_xlnm.Print_Area" localSheetId="3">'ZZK 2'!$A$1:$I$28</definedName>
    <definedName name="_xlnm.Print_Titles" localSheetId="7">DROGI!$4:$6</definedName>
    <definedName name="_xlnm.Print_Titles" localSheetId="8">ELEKTRYCZNA!$4:$6</definedName>
    <definedName name="_xlnm.Print_Titles" localSheetId="9">KANALIZACJA!$4:$6</definedName>
    <definedName name="wgr3wg3gh543egh" localSheetId="7">#REF!</definedName>
    <definedName name="wgr3wg3gh543egh" localSheetId="8">#REF!</definedName>
    <definedName name="wgr3wg3gh543egh" localSheetId="4">#REF!</definedName>
    <definedName name="wgr3wg3gh543egh" localSheetId="2">#REF!</definedName>
    <definedName name="wgr3wg3gh543egh" localSheetId="5">#REF!</definedName>
    <definedName name="wgr3wg3gh543egh" localSheetId="6">#REF!</definedName>
    <definedName name="wgr3wg3gh543egh" localSheetId="3">#REF!</definedName>
    <definedName name="wgr3wg3gh543egh">#REF!</definedName>
    <definedName name="z" localSheetId="7">#REF!</definedName>
    <definedName name="z" localSheetId="8">#REF!</definedName>
    <definedName name="z" localSheetId="4">#REF!</definedName>
    <definedName name="z" localSheetId="2">#REF!</definedName>
    <definedName name="z" localSheetId="5">#REF!</definedName>
    <definedName name="z" localSheetId="6">#REF!</definedName>
    <definedName name="z" localSheetId="3">#REF!</definedName>
    <definedName name="z">#REF!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76" l="1"/>
  <c r="C24" i="76"/>
  <c r="C23" i="76"/>
  <c r="C22" i="76"/>
  <c r="C21" i="76"/>
  <c r="E40" i="77"/>
  <c r="E27" i="77"/>
  <c r="E39" i="77"/>
  <c r="E41" i="77"/>
  <c r="G10" i="81" l="1"/>
  <c r="G11" i="81"/>
  <c r="G12" i="81"/>
  <c r="G13" i="81"/>
  <c r="G14" i="81"/>
  <c r="G15" i="81"/>
  <c r="G16" i="81"/>
  <c r="G17" i="81"/>
  <c r="G18" i="81"/>
  <c r="G21" i="81"/>
  <c r="G22" i="81"/>
  <c r="G25" i="81"/>
  <c r="G26" i="81"/>
  <c r="G31" i="81"/>
  <c r="G32" i="81"/>
  <c r="G41" i="81" s="1"/>
  <c r="D22" i="76" s="1"/>
  <c r="G33" i="81"/>
  <c r="G34" i="81"/>
  <c r="G35" i="81"/>
  <c r="G36" i="81"/>
  <c r="G37" i="81"/>
  <c r="G38" i="81"/>
  <c r="G39" i="81"/>
  <c r="G40" i="81"/>
  <c r="G44" i="81"/>
  <c r="G45" i="81"/>
  <c r="G46" i="81"/>
  <c r="G47" i="81"/>
  <c r="G48" i="81"/>
  <c r="G49" i="81"/>
  <c r="G50" i="81"/>
  <c r="G51" i="81"/>
  <c r="G52" i="81"/>
  <c r="G53" i="81"/>
  <c r="G54" i="81"/>
  <c r="G57" i="81"/>
  <c r="G61" i="81" s="1"/>
  <c r="D24" i="76" s="1"/>
  <c r="G58" i="81"/>
  <c r="G59" i="81"/>
  <c r="G60" i="81"/>
  <c r="G27" i="81" l="1"/>
  <c r="G23" i="81"/>
  <c r="G19" i="81"/>
  <c r="G55" i="81"/>
  <c r="D23" i="76" s="1"/>
  <c r="G9" i="77"/>
  <c r="G28" i="81" l="1"/>
  <c r="D21" i="76" s="1"/>
  <c r="G62" i="81"/>
  <c r="E26" i="77"/>
  <c r="E23" i="77"/>
  <c r="E22" i="77"/>
  <c r="E21" i="77"/>
  <c r="E15" i="77"/>
  <c r="E14" i="77"/>
  <c r="E13" i="77"/>
  <c r="E10" i="77"/>
  <c r="C13" i="76"/>
  <c r="C12" i="76"/>
  <c r="G30" i="77"/>
  <c r="G63" i="81" l="1"/>
  <c r="G64" i="81" s="1"/>
  <c r="G31" i="77"/>
  <c r="D12" i="76" s="1"/>
  <c r="G36" i="77"/>
  <c r="G35" i="77"/>
  <c r="G34" i="77"/>
  <c r="G33" i="77"/>
  <c r="G37" i="77" l="1"/>
  <c r="D13" i="76" s="1"/>
  <c r="G25" i="78"/>
  <c r="G24" i="78"/>
  <c r="G23" i="78"/>
  <c r="G22" i="78"/>
  <c r="J39" i="77"/>
  <c r="K39" i="77" s="1"/>
  <c r="H39" i="77"/>
  <c r="I39" i="77" s="1"/>
  <c r="G39" i="77"/>
  <c r="G30" i="78"/>
  <c r="G29" i="78"/>
  <c r="G28" i="78"/>
  <c r="G27" i="78"/>
  <c r="G26" i="78"/>
  <c r="G21" i="78"/>
  <c r="G20" i="78"/>
  <c r="G19" i="78"/>
  <c r="A22" i="76" l="1"/>
  <c r="G33" i="78" l="1"/>
  <c r="G32" i="78"/>
  <c r="G31" i="78"/>
  <c r="G18" i="78"/>
  <c r="G17" i="78"/>
  <c r="G16" i="78"/>
  <c r="G15" i="78"/>
  <c r="G14" i="78"/>
  <c r="G13" i="78"/>
  <c r="G12" i="78"/>
  <c r="G11" i="78"/>
  <c r="G10" i="78"/>
  <c r="G9" i="78"/>
  <c r="G8" i="78"/>
  <c r="G26" i="77"/>
  <c r="C18" i="76"/>
  <c r="G34" i="78" l="1"/>
  <c r="D18" i="76" s="1"/>
  <c r="C14" i="76"/>
  <c r="C11" i="76"/>
  <c r="C10" i="76"/>
  <c r="C9" i="76"/>
  <c r="C8" i="76"/>
  <c r="C7" i="76"/>
  <c r="C15" i="76"/>
  <c r="A13" i="77"/>
  <c r="A14" i="77" s="1"/>
  <c r="A15" i="77" s="1"/>
  <c r="A18" i="77" s="1"/>
  <c r="A21" i="77" s="1"/>
  <c r="G18" i="77"/>
  <c r="A22" i="77" l="1"/>
  <c r="A23" i="77" s="1"/>
  <c r="G19" i="77"/>
  <c r="A26" i="77" l="1"/>
  <c r="A27" i="77" s="1"/>
  <c r="A34" i="77" s="1"/>
  <c r="A35" i="77" s="1"/>
  <c r="A36" i="77" s="1"/>
  <c r="D9" i="76"/>
  <c r="K36" i="78" l="1"/>
  <c r="I33" i="78"/>
  <c r="I32" i="78"/>
  <c r="I31" i="78"/>
  <c r="I18" i="78"/>
  <c r="I17" i="78"/>
  <c r="I16" i="78"/>
  <c r="I15" i="78"/>
  <c r="I14" i="78"/>
  <c r="I13" i="78"/>
  <c r="I12" i="78"/>
  <c r="I11" i="78"/>
  <c r="I10" i="78"/>
  <c r="I9" i="78"/>
  <c r="I8" i="78"/>
  <c r="H15" i="77"/>
  <c r="J15" i="77"/>
  <c r="J14" i="77"/>
  <c r="H14" i="77"/>
  <c r="J13" i="77"/>
  <c r="H13" i="77"/>
  <c r="J21" i="77"/>
  <c r="H21" i="77"/>
  <c r="H23" i="77"/>
  <c r="I23" i="77" s="1"/>
  <c r="J23" i="77"/>
  <c r="K23" i="77" s="1"/>
  <c r="J22" i="77"/>
  <c r="H22" i="77"/>
  <c r="H41" i="77"/>
  <c r="H40" i="77"/>
  <c r="J40" i="77"/>
  <c r="H27" i="77"/>
  <c r="A44" i="77" l="1"/>
  <c r="A45" i="77" s="1"/>
  <c r="I36" i="78"/>
  <c r="G23" i="77"/>
  <c r="D19" i="76" l="1"/>
  <c r="G35" i="78" l="1"/>
  <c r="G36" i="78" s="1"/>
  <c r="D25" i="76"/>
  <c r="J10" i="77"/>
  <c r="H10" i="77"/>
  <c r="J8" i="77"/>
  <c r="H8" i="77"/>
  <c r="K45" i="77" l="1"/>
  <c r="K44" i="77"/>
  <c r="K41" i="77"/>
  <c r="K40" i="77"/>
  <c r="K27" i="77"/>
  <c r="K22" i="77"/>
  <c r="K21" i="77"/>
  <c r="K15" i="77"/>
  <c r="K14" i="77"/>
  <c r="K13" i="77"/>
  <c r="K10" i="77"/>
  <c r="I45" i="77"/>
  <c r="I44" i="77"/>
  <c r="I41" i="77"/>
  <c r="I40" i="77"/>
  <c r="I27" i="77"/>
  <c r="I22" i="77"/>
  <c r="I21" i="77"/>
  <c r="I15" i="77"/>
  <c r="I14" i="77"/>
  <c r="I13" i="77"/>
  <c r="I10" i="77"/>
  <c r="K8" i="77"/>
  <c r="I8" i="77"/>
  <c r="I28" i="77" l="1"/>
  <c r="K28" i="77"/>
  <c r="K46" i="77"/>
  <c r="I16" i="77"/>
  <c r="I46" i="77"/>
  <c r="K16" i="77"/>
  <c r="K11" i="77"/>
  <c r="K42" i="77"/>
  <c r="K24" i="77"/>
  <c r="I24" i="77"/>
  <c r="I11" i="77"/>
  <c r="I42" i="77"/>
  <c r="K47" i="77" l="1"/>
  <c r="I47" i="77"/>
  <c r="G22" i="77" l="1"/>
  <c r="G45" i="77" l="1"/>
  <c r="G44" i="77"/>
  <c r="G46" i="77" l="1"/>
  <c r="D15" i="76" l="1"/>
  <c r="G21" i="77"/>
  <c r="G15" i="77"/>
  <c r="G14" i="77"/>
  <c r="G13" i="77"/>
  <c r="G10" i="77"/>
  <c r="G16" i="77" l="1"/>
  <c r="D8" i="76" s="1"/>
  <c r="G24" i="77"/>
  <c r="D10" i="76" s="1"/>
  <c r="G40" i="77" l="1"/>
  <c r="G27" i="77" l="1"/>
  <c r="G28" i="77" s="1"/>
  <c r="G41" i="77"/>
  <c r="G42" i="77" s="1"/>
  <c r="G8" i="77"/>
  <c r="G11" i="77" l="1"/>
  <c r="D11" i="76"/>
  <c r="D7" i="76" l="1"/>
  <c r="G47" i="77"/>
  <c r="G48" i="77" s="1"/>
  <c r="G49" i="77" s="1"/>
  <c r="D14" i="76"/>
  <c r="D16" i="76" l="1"/>
  <c r="D26" i="76" s="1"/>
  <c r="D27" i="76" s="1"/>
  <c r="D28" i="76" s="1"/>
  <c r="G80" i="52"/>
  <c r="I80" i="52" s="1"/>
  <c r="A40" i="71"/>
  <c r="A41" i="71" s="1"/>
  <c r="A42" i="71" s="1"/>
  <c r="A43" i="71" s="1"/>
  <c r="A44" i="71" s="1"/>
  <c r="A45" i="71" s="1"/>
  <c r="G64" i="69"/>
  <c r="G63" i="69"/>
  <c r="G62" i="69"/>
  <c r="G61" i="69"/>
  <c r="G60" i="69"/>
  <c r="G59" i="69"/>
  <c r="G58" i="69"/>
  <c r="G57" i="69"/>
  <c r="G56" i="69"/>
  <c r="G55" i="69"/>
  <c r="G52" i="69"/>
  <c r="G51" i="69"/>
  <c r="G50" i="69"/>
  <c r="G49" i="69"/>
  <c r="G48" i="69"/>
  <c r="G47" i="69"/>
  <c r="A47" i="69"/>
  <c r="A48" i="69" s="1"/>
  <c r="A49" i="69" s="1"/>
  <c r="A50" i="69" s="1"/>
  <c r="A51" i="69" s="1"/>
  <c r="A52" i="69" s="1"/>
  <c r="G46" i="69"/>
  <c r="G38" i="69"/>
  <c r="G39" i="69" s="1"/>
  <c r="I12" i="67" s="1"/>
  <c r="G35" i="69"/>
  <c r="G34" i="69"/>
  <c r="G33" i="69"/>
  <c r="G32" i="69"/>
  <c r="G29" i="69"/>
  <c r="G28" i="69"/>
  <c r="G27" i="69"/>
  <c r="G24" i="69"/>
  <c r="G23" i="69"/>
  <c r="G22" i="69"/>
  <c r="G19" i="69"/>
  <c r="G18" i="69"/>
  <c r="G17" i="69"/>
  <c r="G16" i="69"/>
  <c r="G13" i="69"/>
  <c r="G12" i="69"/>
  <c r="G11" i="69"/>
  <c r="G10" i="69"/>
  <c r="G9" i="69"/>
  <c r="G8" i="69"/>
  <c r="H18" i="67"/>
  <c r="H19" i="67" s="1"/>
  <c r="G18" i="67"/>
  <c r="G20" i="67" s="1"/>
  <c r="F18" i="67"/>
  <c r="F20" i="67" s="1"/>
  <c r="E18" i="67"/>
  <c r="E19" i="67" s="1"/>
  <c r="D18" i="67"/>
  <c r="D19" i="67" s="1"/>
  <c r="A98" i="65"/>
  <c r="A99" i="65" s="1"/>
  <c r="A100" i="65" s="1"/>
  <c r="A101" i="65" s="1"/>
  <c r="A102" i="65" s="1"/>
  <c r="A103" i="65" s="1"/>
  <c r="A75" i="65"/>
  <c r="A76" i="65" s="1"/>
  <c r="A77" i="65" s="1"/>
  <c r="A78" i="65" s="1"/>
  <c r="A79" i="65" s="1"/>
  <c r="A80" i="65" s="1"/>
  <c r="E50" i="65"/>
  <c r="E48" i="65"/>
  <c r="E47" i="65"/>
  <c r="G20" i="69" l="1"/>
  <c r="I8" i="67" s="1"/>
  <c r="G25" i="69"/>
  <c r="I9" i="67" s="1"/>
  <c r="G53" i="69"/>
  <c r="I15" i="67" s="1"/>
  <c r="G14" i="69"/>
  <c r="I7" i="67" s="1"/>
  <c r="G30" i="69"/>
  <c r="I10" i="67" s="1"/>
  <c r="G65" i="69"/>
  <c r="I16" i="67" s="1"/>
  <c r="G36" i="69"/>
  <c r="I11" i="67" s="1"/>
  <c r="F19" i="67"/>
  <c r="G19" i="67"/>
  <c r="E20" i="67"/>
  <c r="H20" i="67"/>
  <c r="D20" i="67"/>
  <c r="G35" i="52"/>
  <c r="I35" i="52" s="1"/>
  <c r="E55" i="52"/>
  <c r="E56" i="52"/>
  <c r="E59" i="52"/>
  <c r="G66" i="52"/>
  <c r="I66" i="52" s="1"/>
  <c r="G78" i="52"/>
  <c r="I78" i="52" s="1"/>
  <c r="I17" i="67" l="1"/>
  <c r="I13" i="67"/>
  <c r="G66" i="69"/>
  <c r="G40" i="69"/>
  <c r="G73" i="52"/>
  <c r="I73" i="52" s="1"/>
  <c r="G72" i="52"/>
  <c r="I72" i="52" s="1"/>
  <c r="G71" i="52"/>
  <c r="I71" i="52" s="1"/>
  <c r="G70" i="52"/>
  <c r="I70" i="52" s="1"/>
  <c r="I18" i="67" l="1"/>
  <c r="I19" i="67" s="1"/>
  <c r="I20" i="67" s="1"/>
  <c r="G74" i="52"/>
  <c r="I20" i="58" s="1"/>
  <c r="B23" i="67"/>
  <c r="G140" i="52" l="1"/>
  <c r="G139" i="52"/>
  <c r="G138" i="52"/>
  <c r="G137" i="52"/>
  <c r="G136" i="52"/>
  <c r="G135" i="52"/>
  <c r="G134" i="52"/>
  <c r="G133" i="52"/>
  <c r="G132" i="52"/>
  <c r="G131" i="52"/>
  <c r="G130" i="52"/>
  <c r="G129" i="52"/>
  <c r="G128" i="52"/>
  <c r="G127" i="52"/>
  <c r="G126" i="52"/>
  <c r="G125" i="52"/>
  <c r="G124" i="52"/>
  <c r="G121" i="52"/>
  <c r="G120" i="52"/>
  <c r="G119" i="52"/>
  <c r="G118" i="52"/>
  <c r="G117" i="52"/>
  <c r="G116" i="52"/>
  <c r="A116" i="52"/>
  <c r="A117" i="52" s="1"/>
  <c r="A118" i="52" s="1"/>
  <c r="A119" i="52" s="1"/>
  <c r="A120" i="52" s="1"/>
  <c r="A121" i="52" s="1"/>
  <c r="G115" i="52"/>
  <c r="G107" i="52"/>
  <c r="G106" i="52"/>
  <c r="G105" i="52"/>
  <c r="G104" i="52"/>
  <c r="G103" i="52"/>
  <c r="G102" i="52"/>
  <c r="G101" i="52"/>
  <c r="G100" i="52"/>
  <c r="G99" i="52"/>
  <c r="G98" i="52"/>
  <c r="G95" i="52"/>
  <c r="G94" i="52"/>
  <c r="G93" i="52"/>
  <c r="G92" i="52"/>
  <c r="G91" i="52"/>
  <c r="G90" i="52"/>
  <c r="A90" i="52"/>
  <c r="A91" i="52" s="1"/>
  <c r="A92" i="52" s="1"/>
  <c r="A93" i="52" s="1"/>
  <c r="A94" i="52" s="1"/>
  <c r="A95" i="52" s="1"/>
  <c r="G89" i="52"/>
  <c r="G60" i="52"/>
  <c r="I60" i="52" s="1"/>
  <c r="G79" i="52"/>
  <c r="I79" i="52" s="1"/>
  <c r="G77" i="52"/>
  <c r="I77" i="52" s="1"/>
  <c r="G76" i="52"/>
  <c r="I76" i="52" s="1"/>
  <c r="G67" i="52"/>
  <c r="I67" i="52" s="1"/>
  <c r="G65" i="52"/>
  <c r="I65" i="52" s="1"/>
  <c r="G64" i="52"/>
  <c r="I64" i="52" s="1"/>
  <c r="G61" i="52"/>
  <c r="I61" i="52" s="1"/>
  <c r="G59" i="52"/>
  <c r="I59" i="52" s="1"/>
  <c r="G56" i="52"/>
  <c r="I56" i="52" s="1"/>
  <c r="G55" i="52"/>
  <c r="I55" i="52" s="1"/>
  <c r="G52" i="52"/>
  <c r="I52" i="52" s="1"/>
  <c r="G51" i="52"/>
  <c r="I51" i="52" s="1"/>
  <c r="G50" i="52"/>
  <c r="I50" i="52" s="1"/>
  <c r="G49" i="52"/>
  <c r="I49" i="52" s="1"/>
  <c r="G48" i="52"/>
  <c r="I48" i="52" s="1"/>
  <c r="I82" i="52" l="1"/>
  <c r="G122" i="52"/>
  <c r="I29" i="58" s="1"/>
  <c r="G141" i="52"/>
  <c r="I30" i="58" s="1"/>
  <c r="G62" i="52"/>
  <c r="I18" i="58" s="1"/>
  <c r="G81" i="52"/>
  <c r="I21" i="58" s="1"/>
  <c r="G96" i="52"/>
  <c r="I25" i="58" s="1"/>
  <c r="G57" i="52"/>
  <c r="I17" i="58" s="1"/>
  <c r="G53" i="52"/>
  <c r="G68" i="52"/>
  <c r="I19" i="58" s="1"/>
  <c r="G108" i="52"/>
  <c r="I26" i="58" s="1"/>
  <c r="H32" i="58"/>
  <c r="H33" i="58" s="1"/>
  <c r="G32" i="58"/>
  <c r="G34" i="58" s="1"/>
  <c r="F32" i="58"/>
  <c r="F34" i="58" s="1"/>
  <c r="E32" i="58"/>
  <c r="E33" i="58" s="1"/>
  <c r="D32" i="58"/>
  <c r="D33" i="58" s="1"/>
  <c r="G82" i="52" l="1"/>
  <c r="I27" i="58"/>
  <c r="I31" i="58"/>
  <c r="G142" i="52"/>
  <c r="G109" i="52"/>
  <c r="I16" i="58"/>
  <c r="I22" i="58" s="1"/>
  <c r="G33" i="58"/>
  <c r="F33" i="58"/>
  <c r="D34" i="58"/>
  <c r="H34" i="58"/>
  <c r="E34" i="58"/>
  <c r="G39" i="52" l="1"/>
  <c r="I39" i="52" s="1"/>
  <c r="G36" i="52"/>
  <c r="I36" i="52" s="1"/>
  <c r="G34" i="52"/>
  <c r="I34" i="52" s="1"/>
  <c r="G33" i="52"/>
  <c r="I33" i="52" s="1"/>
  <c r="G30" i="52"/>
  <c r="I30" i="52" s="1"/>
  <c r="G29" i="52"/>
  <c r="I29" i="52" s="1"/>
  <c r="G28" i="52"/>
  <c r="I28" i="52" s="1"/>
  <c r="G25" i="52"/>
  <c r="I25" i="52" s="1"/>
  <c r="G24" i="52"/>
  <c r="I24" i="52" s="1"/>
  <c r="G19" i="52"/>
  <c r="I19" i="52" s="1"/>
  <c r="G18" i="52"/>
  <c r="I18" i="52" s="1"/>
  <c r="G17" i="52"/>
  <c r="I17" i="52" s="1"/>
  <c r="G14" i="52"/>
  <c r="I14" i="52" s="1"/>
  <c r="G13" i="52"/>
  <c r="I13" i="52" s="1"/>
  <c r="G12" i="52"/>
  <c r="I12" i="52" s="1"/>
  <c r="G11" i="52"/>
  <c r="I11" i="52" s="1"/>
  <c r="G10" i="52"/>
  <c r="I10" i="52" s="1"/>
  <c r="G9" i="52"/>
  <c r="I9" i="52" s="1"/>
  <c r="G31" i="52" l="1"/>
  <c r="I11" i="58" s="1"/>
  <c r="G37" i="52"/>
  <c r="I12" i="58" s="1"/>
  <c r="G40" i="52"/>
  <c r="I13" i="58" s="1"/>
  <c r="G15" i="52"/>
  <c r="I8" i="58" s="1"/>
  <c r="G20" i="52"/>
  <c r="I20" i="52" s="1"/>
  <c r="I41" i="52" s="1"/>
  <c r="G23" i="52"/>
  <c r="I23" i="52" s="1"/>
  <c r="G26" i="52" l="1"/>
  <c r="I10" i="58" s="1"/>
  <c r="G21" i="52"/>
  <c r="I9" i="58" s="1"/>
  <c r="I14" i="58" l="1"/>
  <c r="I32" i="58" s="1"/>
  <c r="I33" i="58" s="1"/>
  <c r="I34" i="58" s="1"/>
  <c r="G41" i="52"/>
  <c r="B37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</author>
  </authors>
  <commentList>
    <comment ref="E21" authorId="0" shapeId="0" xr:uid="{DC01FA87-15AD-4CDF-BA4D-15E1D4EEE252}">
      <text>
        <r>
          <rPr>
            <b/>
            <sz val="9"/>
            <color indexed="81"/>
            <rFont val="Tahoma"/>
            <charset val="1"/>
          </rPr>
          <t>jan: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<sst xmlns="http://schemas.openxmlformats.org/spreadsheetml/2006/main" count="1450" uniqueCount="386">
  <si>
    <t>km</t>
  </si>
  <si>
    <t>Lp.</t>
  </si>
  <si>
    <t>ROBOTY PRZYGOTOWAWCZE</t>
  </si>
  <si>
    <t>Wyszczególnienie elementów rozliczeniowych</t>
  </si>
  <si>
    <t>D.01.00.00.</t>
  </si>
  <si>
    <t>D.04.00.00.</t>
  </si>
  <si>
    <t>PODBUDOWY</t>
  </si>
  <si>
    <t>D.05.00.00.</t>
  </si>
  <si>
    <t>NAWIERZCHNIE</t>
  </si>
  <si>
    <t>* Ceny jednostkowe i wartości robót należy podawać w PLN  z dokładnością do  0,01 PLN.</t>
  </si>
  <si>
    <t>Sporządził:</t>
  </si>
  <si>
    <t>ELEMENTY  ULIC</t>
  </si>
  <si>
    <t>D.08.01.01</t>
  </si>
  <si>
    <t>mb</t>
  </si>
  <si>
    <t>R A Z E M</t>
  </si>
  <si>
    <t xml:space="preserve">Roboty pomiarowe - odtworzenie trasy i punktów pomiarowych </t>
  </si>
  <si>
    <t>Ilość jednostek</t>
  </si>
  <si>
    <t>Nazwa jednostki</t>
  </si>
  <si>
    <t>Odcinek I</t>
  </si>
  <si>
    <t>Odcinek II</t>
  </si>
  <si>
    <t>ZBIORCZE ZESTAWIENIE KOSZTÓW INWESTYCJI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</si>
  <si>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</si>
  <si>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</si>
  <si>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</si>
  <si>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</si>
  <si>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</si>
  <si>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</si>
  <si>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</si>
  <si>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</si>
  <si>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* Ceny jednostkowe i wartości robót należy podawać w PLN  z dokładnością do  0,01 PLN</t>
  </si>
  <si>
    <t>Wartość (PLN*) - OGÓŁEM</t>
  </si>
  <si>
    <t>D.04.01.01.</t>
  </si>
  <si>
    <t>ROBOTY ZIEMNE</t>
  </si>
  <si>
    <t>szt</t>
  </si>
  <si>
    <t>Profilowanie i zagęszczenie podłoża</t>
  </si>
  <si>
    <t>D.04.04.02.</t>
  </si>
  <si>
    <t>D.02.01.01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</si>
  <si>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</si>
  <si>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</si>
  <si>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</si>
  <si>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</si>
  <si>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</si>
  <si>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</si>
  <si>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</si>
  <si>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</si>
  <si>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 xml:space="preserve">  </t>
  </si>
  <si>
    <t>D.01.02.04</t>
  </si>
  <si>
    <t>RAZEM  ELEMENTY  ULIC</t>
  </si>
  <si>
    <t>D.04.05.01A.</t>
  </si>
  <si>
    <t>D.02.00.00.</t>
  </si>
  <si>
    <t xml:space="preserve">                                                                                            </t>
  </si>
  <si>
    <t>Ułożenie ścieku z dwóch rzędów kostki betonowej na ławie betonowej</t>
  </si>
  <si>
    <t>D.08.05.06A</t>
  </si>
  <si>
    <t>Ułożenie opornika betonowego na ławie betonowej z oporem</t>
  </si>
  <si>
    <t>Roboty rozbiórkowe kostki betonowej</t>
  </si>
  <si>
    <t>D.01.01.01A.</t>
  </si>
  <si>
    <t>D.05.03.05B</t>
  </si>
  <si>
    <t>D.08.01.01A</t>
  </si>
  <si>
    <t>D.03.02.01A</t>
  </si>
  <si>
    <t>D.05.03.23A</t>
  </si>
  <si>
    <t>Roboty ziemne - wykonanie poboczy i zieleni</t>
  </si>
  <si>
    <t>D.02.03.01</t>
  </si>
  <si>
    <t>Wywiezienie niekontrolowanego nasypu na odl. 10 km</t>
  </si>
  <si>
    <t>Warstwa wzmacniająca podłoże z gruntu stabilizowanego cementem gr. 15 cm,  (ciąg pieszo - rowerowy)</t>
  </si>
  <si>
    <t>Ułożenie kostki betonowej brukowej gr. 8 cm kolorowej, na podsypce cementowo- piaskowej gr 3 cm</t>
  </si>
  <si>
    <t>Ułożenie kostki betonowej bezfazowej gr 8 cm - ciąg pieszo-rowerowy</t>
  </si>
  <si>
    <t>Ustawienie krawężnika betonowego   na podsypce cementowo-piaskowej gr. 3,0 cm wraz z ławą betonową z oporem</t>
  </si>
  <si>
    <t>Rozbiórka podbudowy  betonowej</t>
  </si>
  <si>
    <t>Rozbiórka nawierzchni z trylinki</t>
  </si>
  <si>
    <t xml:space="preserve">Regulacja wysokościowa istniejących urządzeń infrastruktury technicznej </t>
  </si>
  <si>
    <t xml:space="preserve">Regulacja  włazów kanalizacyjnych </t>
  </si>
  <si>
    <t>11</t>
  </si>
  <si>
    <t>12</t>
  </si>
  <si>
    <t>ROBOTY WYKOŃCZENIOWE</t>
  </si>
  <si>
    <t>OGÓŁEM - suma pozycji 1 - 21</t>
  </si>
  <si>
    <r>
      <t>m</t>
    </r>
    <r>
      <rPr>
        <vertAlign val="superscript"/>
        <sz val="10"/>
        <rFont val="Arial"/>
        <family val="2"/>
        <charset val="238"/>
      </rPr>
      <t>3</t>
    </r>
  </si>
  <si>
    <t>D.04.05.01.</t>
  </si>
  <si>
    <t>Wykonanie koryta z odwozem gruntu na odkład na 10 km</t>
  </si>
  <si>
    <t>Wykonanie nasypu z gruntu dowiezionego</t>
  </si>
  <si>
    <t xml:space="preserve">                ZIELEŃ</t>
  </si>
  <si>
    <t>RAZEM  ZIELEŃ</t>
  </si>
  <si>
    <t>m</t>
  </si>
  <si>
    <t>ST 02-KG</t>
  </si>
  <si>
    <t>Badanie kanału za pomocą kamery z obrotową głowicą na wózku wraz z przygotowaniem dokumentacji</t>
  </si>
  <si>
    <t>próba</t>
  </si>
  <si>
    <t>Montaż kształtek PCW kanalizacja zewnętrzna, dwukielichowe, łączone na wcisk o średnicy zewnętrznej 315mm, kaskada zgodnie z DP</t>
  </si>
  <si>
    <t>Montaż studni rewizyjnych z kręgów żelbeetowych o średnicy Dn2000mm w gotowym wykopie o głebokości do 3,0m - wyposażenie zgodnie z DP</t>
  </si>
  <si>
    <t>Montaż studzienek ściekowych ulicznych betonowych o średnicy 500mm, z osadnikiem, bez syfonu</t>
  </si>
  <si>
    <t>ST 01-RZ</t>
  </si>
  <si>
    <t>Montaż kształtek PCW kanalizacja zewnętrzna, dwukielichowe, łączone na wcisk o średnicy zewnętrznej 315mm, trójniki 315/160mm</t>
  </si>
  <si>
    <t>kpl</t>
  </si>
  <si>
    <t xml:space="preserve">Montaż konstrukcji podwieszeń kabli energetycznych i telekomunikacynych typu lekkiego, o rozpiętości elementu 4,0m, za pomocą rury dwudzielnej PE Dn100mm, </t>
  </si>
  <si>
    <t>Montaż i demontaż konstrukcji podwieszeń rurociągów i kanałów o rozpiętości elementu 4,0m</t>
  </si>
  <si>
    <t>Zasypywanie wykopów fundamentowych, podłużnych, punktowych, rowów, wykopów obiektowych, w gruncie kat. I - II z zagęszczeniem mechanicznym - zasypka piaskiem zakupionym - cena z dowozem</t>
  </si>
  <si>
    <t>Podłoża pod kanały i obiekty, wykonywane metodą stabilizacji cementem - grubość podłoża 20 cm</t>
  </si>
  <si>
    <t>Podłoża z materiałów sypkich pod kanały i obiekty - grubość podłoża do 20 cm i obsypki o gr. 0,30m ponad górę rury - z piasku dowiezionego - cena z dowozem</t>
  </si>
  <si>
    <t xml:space="preserve">Nakłady uzupełniające za przewóz urobku na odległość do 10 km dla gruntu kat. I - III. Transport urobku sam. Samowył 5-10t na składowisko wraz z opłatą za przyjecie </t>
  </si>
  <si>
    <t>Montaż studni chłonnych z kręgów żelbetowych o średnicy Dn2500mm i głębokości do 2,5m - zgodnie z DP</t>
  </si>
  <si>
    <t>Montaż studni chłonnych z kręgów żelbetowych o średnicy Dn2000mm i głębokości do 3,0m - zgodnie z DP</t>
  </si>
  <si>
    <t>Montaż studni chłonnych z kręgów żelbetowych o średnicy Dn1500mm i głębokości do 3,0m - zgodnie z DP</t>
  </si>
  <si>
    <t>m otworu</t>
  </si>
  <si>
    <t>Adaptacja istniejącej studni, wiercenie otworu w betonie zbrojonym, przy średnicy wierconego otworu 300mm wraz z osadzeniem przejścia szczelnego do rur PCW Dn315mm</t>
  </si>
  <si>
    <t>Montaż kompletnej studni betonowej Dn1200mm z kręgów betonowych (beton min C40/50), łączonych na uszczelkę gumową z dennicą stanowiącą monolityczną konstrukcję z kinetą, z włazem żeliwnym okrągłym 600mm z wypełnieniem betonowym kl. D400 i stopniami żeliwnymi, z osadzonymi przejściami szczelnymi do rur PCW o wysokości do 3,0m</t>
  </si>
  <si>
    <t>Wykopy liniowe do 4,0m umocnione za pomocą dwustronnej obudowy metalowej skrzyniowej typu box, przy szerokości wykopu do 1,5m w gruncie kategorii I - III, koparką gąsienicową o pojemności łyżki 0,75m3</t>
  </si>
  <si>
    <t>BRANŻA  DROGOWA</t>
  </si>
  <si>
    <t>BRANŻA  SANITARNA</t>
  </si>
  <si>
    <t>ROBOTY MONTAŻOWE</t>
  </si>
  <si>
    <t>inż..Krzysztof Marchwicki</t>
  </si>
  <si>
    <t>Ułożenie kostki brukowej betonowej szarej gr 8 cm na podsypce cementowo-piaskowej gr 3 cm na jezdni</t>
  </si>
  <si>
    <t>Warstwa wzmacniająca podłoże z gruntu stabilizowanego cementem gr. 15 cm,  (ciąg pieszo-rowerowy)</t>
  </si>
  <si>
    <t>9</t>
  </si>
  <si>
    <t>8</t>
  </si>
  <si>
    <t>Wykonanie koryta</t>
  </si>
  <si>
    <t xml:space="preserve"> </t>
  </si>
  <si>
    <t>OGÓŁEM - suma pozycji 1 - 24</t>
  </si>
  <si>
    <t xml:space="preserve">                   ROBOTY  MONTAŻOWE</t>
  </si>
  <si>
    <t>RAZEM  ROBOTY  MONTAŻOWE</t>
  </si>
  <si>
    <t>Montaż kanałów z rur kanalizacyjnych PCW łączonych na wcisk /rury łącznie z uszczelką/, o średnicy zewnętrznej 315mm, 
SN 8 kN/m2</t>
  </si>
  <si>
    <t>Montaż kanałów z rur kanalizacyjnych PCW łączonych na wcisk /rury łącznie z uszczelką/, o średnicy zewnętrznej 250mm, 
SN 8 kN/m2</t>
  </si>
  <si>
    <t>Montaż kanałów z rur kanalizacyjnych PCW łączonych na wcisk /rury łącznie z uszczelką/, o średnicy zewnętrznej 200mm, 
SN 8 kN/m2</t>
  </si>
  <si>
    <t>Montaż kanałów z rur kanalizacyjnych PCW łączonych na wcisk /rury łącznie z uszczelką/, o średnicy zewnętrznej 160mm, 
SN 8 kN/m2</t>
  </si>
  <si>
    <t>KOSZTORYS  INWESTORSKI</t>
  </si>
  <si>
    <t>mgr inż. Paweł Kattner</t>
  </si>
  <si>
    <t>ZAKRES ULIC TADEUSZA ŁOPUSZAŃSKIEGO i STEFANA CZARNIECKIEGO w RYDZYNIE</t>
  </si>
  <si>
    <t>Próba wodna szczelności kanałów rurowych/dla odcinka równego odległością między studzienkami/, z rur o średncy nominalnej: 300mm - oprócz rur betonowych i żelbetowych</t>
  </si>
  <si>
    <t>Próba wodna szczelności kanałów rurowych/dla odcinka równego odległością między studzienkami/, z rur o średncy nominalnej: 200mm - oprócz rur betonowych i żelbetowych</t>
  </si>
  <si>
    <t>Próba wodna szczelności kanałów rurowych/dla odcinka równego odległością między studzienkami/, z rur o średncy nominalnej: 250mm - oprócz rur betonowych i żelbetowych</t>
  </si>
  <si>
    <t>ZAKRES ULIC POMPEA FERRARIEGO I JANA KILIŃSKIEGO w RYDZYNIE</t>
  </si>
  <si>
    <t>PROJEKT ZAGOSPODAROWANIA ULIC 
POMPEA FERRARIEGO, JANA KILIŃSKIEGO, TADEUSZA ŁOPUSZAŃSKIEGO i STEFANA CZARNIECKIEGO w RYDZYNIE</t>
  </si>
  <si>
    <t>ZAKRES  ULIC 
TADEUSZA ŁOPUSZAŃSKIEGO i STEFANA CZARNIECKIEGO w RYDZYNIE</t>
  </si>
  <si>
    <t>ZAKRES  ULIC 
POMPEA FERRARIEGO, JANA KILIŃSKIEGO w RYDZYNIE</t>
  </si>
  <si>
    <t>Podbudowa zasadnicza z kamienia łamanego stabilizowanego mechanicznie 0/31,5 gr. 22 cm (jezdnia, zjazdy )</t>
  </si>
  <si>
    <t>Warstwa wzmacniająca podłoże z gruntu stabilizowanego cementem gr. 20 cm, (jezdnia, zjazdy )</t>
  </si>
  <si>
    <t>Ułożenie kostki betonowej brukowej  gr. 8,0 cm szarej , na podsypce cementowo - piaskowej gr. 3,0 cm - jezdnia</t>
  </si>
  <si>
    <t>D.07.01.01B</t>
  </si>
  <si>
    <t>D.07.02.01</t>
  </si>
  <si>
    <t xml:space="preserve">                  URZĄDZENIA BEZPIECZEŃSTWA RUCHU</t>
  </si>
  <si>
    <t>RAZEM  URZĄDZENIA BEZPIECZEŃSTWA RUCHU</t>
  </si>
  <si>
    <t>Słupki do pionowych znaków drogowych z rur stalowych ocynkowanych o średnicy 2 cali</t>
  </si>
  <si>
    <t>Aktywne solarne elementy odblaskowe LED barwy białej</t>
  </si>
  <si>
    <t>D.07.00.00.</t>
  </si>
  <si>
    <t>URZĄDZENIA BEZPIECZEŃSTWA RUCHU</t>
  </si>
  <si>
    <t>Ustawienie krawężnika betonowego najazdowego 15x22 cm na podsypce cementowo-piaskowej gr. 3,0 cm wraz z ławą betonową z oporem</t>
  </si>
  <si>
    <t>D.08.03.01</t>
  </si>
  <si>
    <t>Ułożenie obrzeża betonowego 8x30 cm na ławie betonowej z oporem</t>
  </si>
  <si>
    <t>Znaki drogowe pionowe odblaskowe typ II, małe</t>
  </si>
  <si>
    <t>Oznakowanie poziome jezdni grubowarstwowe, chemoutwardzalne głądkie - malowanie ręcznie</t>
  </si>
  <si>
    <t>Ułożenie kostki brukowej betonowej czerwonej gr 8 cm na podsypce cementowo-piaskowej gr 3 cm na - zjazdy do posesji</t>
  </si>
  <si>
    <t>Ułożenie kostki brukowej betonowej szarej gr 8 cm na podsypce cementowo-piaskowej gr 3 cm na - chodniki</t>
  </si>
  <si>
    <t xml:space="preserve">Warstwa wzmacniająca podłoże z gruntu stabilizowanego cementem gr. 20 cm, </t>
  </si>
  <si>
    <t>Razem - suma poz. 1 do 16</t>
  </si>
  <si>
    <t>Podatek VAT - 23%  poz. 17</t>
  </si>
  <si>
    <t>OGÓŁEM - suma poz.  17 i 18</t>
  </si>
  <si>
    <t>D.08.00.00.</t>
  </si>
  <si>
    <t>D.02.01.01.</t>
  </si>
  <si>
    <t>OGÓŁEM - suma pozycji 1 - 17</t>
  </si>
  <si>
    <t>PRZEDMIARY  ROBÓT</t>
  </si>
  <si>
    <t>PROJEKT ZAGOSPODAROWANIA ULIC  POMPEA FERRARIEGO, JANA KILIŃSKIEGO, TADEUSZA ŁOPUSZAŃSKIEGO i STEFANA CZARNIECKIEGO w RYDZYNIE</t>
  </si>
  <si>
    <t>PROJEKT ZAGOSPODAROWANIA ULIC 
POMPEA FERRARIEGO i JANA KILIŃSKIEGO w RYDZYNIE</t>
  </si>
  <si>
    <t>PROJEKT ZAGOSPODAROWANIA ULIC POMPEA FERRARIEGO i JANA KILIŃSKIEGO w RYDZYNIE</t>
  </si>
  <si>
    <t>Razem - suma poz. 1 do 8</t>
  </si>
  <si>
    <t>Podatek VAT - 23%  poz. 9</t>
  </si>
  <si>
    <t>OGÓŁEM - suma poz.  9 i 10</t>
  </si>
  <si>
    <t>szt.</t>
  </si>
  <si>
    <t>Dostawa i montaż tablicy informacyjnej o wymiarach 
min. 120 cm x 180 cm. /tablica informująca użytkowników 
drogi o realizacji zadania gminnego z udziałem 
środków Funduszu Dróg Samorządowych + słupki/</t>
  </si>
  <si>
    <t>OGÓŁEM - suma pozycji 1 - 23</t>
  </si>
  <si>
    <t>R A Z E M   -    BRANŻA DROGOWA</t>
  </si>
  <si>
    <t>Pozycja Specyfikacji TecKnicznej</t>
  </si>
  <si>
    <t>NETTO</t>
  </si>
  <si>
    <t>Numery SSTWiORB</t>
  </si>
  <si>
    <t>CAŁE  OSIEDLE</t>
  </si>
  <si>
    <t>jw.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</si>
  <si>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 CE"/>
        <charset val="238"/>
      </rPr>
      <t/>
    </r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</si>
  <si>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 CE"/>
        <charset val="238"/>
      </rPr>
      <t/>
    </r>
  </si>
  <si>
    <t>D.04.01.01</t>
  </si>
  <si>
    <t>D.04.05.01</t>
  </si>
  <si>
    <t>D.04.04.02</t>
  </si>
  <si>
    <t>Obsługa geodezyjna</t>
  </si>
  <si>
    <t>Tymczasowa organizacja ruchu</t>
  </si>
  <si>
    <t>RAZEM  POZOSTAŁE KOSZTY</t>
  </si>
  <si>
    <t>D.05.03.23</t>
  </si>
  <si>
    <t>D.08.05.06</t>
  </si>
  <si>
    <t>D.03.00.00.</t>
  </si>
  <si>
    <t>ODWODNIENIE</t>
  </si>
  <si>
    <t>POZOSTAŁE KOSZTY</t>
  </si>
  <si>
    <t>RAZEM</t>
  </si>
  <si>
    <r>
      <t>20+998,00</t>
    </r>
    <r>
      <rPr>
        <b/>
        <sz val="10"/>
        <rFont val="Verdana"/>
        <family val="2"/>
        <charset val="238"/>
      </rPr>
      <t>÷</t>
    </r>
    <r>
      <rPr>
        <b/>
        <sz val="9"/>
        <rFont val="Arial"/>
        <family val="2"/>
        <charset val="238"/>
      </rPr>
      <t>22+350,00</t>
    </r>
  </si>
  <si>
    <t>22+350,00÷23+986,00</t>
  </si>
  <si>
    <t/>
  </si>
  <si>
    <t>OŚWIETLENIE DROGOWE</t>
  </si>
  <si>
    <t>R A Z E M   -    BRANŻA SANITARNA</t>
  </si>
  <si>
    <t>R A Z E M   -    BRANŻA ELEKTRYCZNA</t>
  </si>
  <si>
    <t>BRANŻA  ELEKTRYCZNA</t>
  </si>
  <si>
    <t>D.01.01.01.</t>
  </si>
  <si>
    <t>BRANŻA  INSTALACYJNA  ELEKTRYCZNA</t>
  </si>
  <si>
    <t>BRANŻA  INSTALACYJNA  SANITARNA</t>
  </si>
  <si>
    <t>Razem wartość kosztorysowa robót z podatkiem VAT:</t>
  </si>
  <si>
    <t>Podatek VAT: 23 %</t>
  </si>
  <si>
    <t xml:space="preserve">Razem wartość kosztorysowa robót bet podatku VAT: </t>
  </si>
  <si>
    <t>45231000-5</t>
  </si>
  <si>
    <t>Razem dział:  Odwodnienie wykopów</t>
  </si>
  <si>
    <t>Odwodnienie wykopów</t>
  </si>
  <si>
    <t>1.1.2</t>
  </si>
  <si>
    <t>Razem dział:  Roboty ziemne</t>
  </si>
  <si>
    <t>Roboty ziemne</t>
  </si>
  <si>
    <t>1.1.1</t>
  </si>
  <si>
    <t>45231300-8</t>
  </si>
  <si>
    <t>[zł]</t>
  </si>
  <si>
    <t>jedn. PLN</t>
  </si>
  <si>
    <t>Nazwa</t>
  </si>
  <si>
    <t>Ilość</t>
  </si>
  <si>
    <t>Wartość</t>
  </si>
  <si>
    <t>Cena</t>
  </si>
  <si>
    <t>Jednostka</t>
  </si>
  <si>
    <t>Podstawa</t>
  </si>
  <si>
    <t>D.03.02.02a</t>
  </si>
  <si>
    <t xml:space="preserve">RAZEM   ODWODNIENIE                                                                                     </t>
  </si>
  <si>
    <t>Regulacja pionowej urządzeń podziemnych studzienek kanalizacyjnych, studni rewizyjnych, zaworów itp..</t>
  </si>
  <si>
    <t xml:space="preserve"> NAWIERZCHNIE</t>
  </si>
  <si>
    <t>ELEMENTY ULIC</t>
  </si>
  <si>
    <t>E.00.00.04 i 06</t>
  </si>
  <si>
    <t>Zestawił:</t>
  </si>
  <si>
    <t>Budowa odcinka ulicy Skrzydlatej na terenie Gminy Święciechowa i budowy odcinka ulicy Zachodniej
- drogi gminnej (nr 890000P) od granicy z Gminą Święciechowa (od skrzyżowania z ulicą Pilotów)
do terenów PKP (linia kolejowa nr 14) na terenie Miasta Leszna</t>
  </si>
  <si>
    <t>Budowa odcinka ulicy Skrzydlatej na terenie Gminy Święciechowa
i budowy odcinka ulicy Zachodniej - drogi gminnej (nr 890000P) od granicy z Gminą Święciechowa
(od skrzyżowania z ulicą Pilotów) do terenów PKP (linia kolejowa nr 14) na terenie Miasta Leszna</t>
  </si>
  <si>
    <t>KNNR 5 0701-05</t>
  </si>
  <si>
    <t>Kopanie rowów dla kabli w sposób mechaniczny w gruncie kat. III-IV</t>
  </si>
  <si>
    <t>m3</t>
  </si>
  <si>
    <t>KNNR 5 0702-05</t>
  </si>
  <si>
    <t>Zasypywanie rowów dla kabli wykonanych mechanicznie w gruncie kat. III-IV</t>
  </si>
  <si>
    <t>KNNR 5 0706-01</t>
  </si>
  <si>
    <t>Nasypanie warstwy piasku na dnie rowu kablowego o szerokości do 0.4 m</t>
  </si>
  <si>
    <t>KNNR 5 0705-01</t>
  </si>
  <si>
    <t>Ułożenie rur osłonowych z PCW -  S110  (w S tylko środek transportowy)</t>
  </si>
  <si>
    <t>Ułożenie rur osłonowych z PCW -  D50  (w S tylko środek transportowy)</t>
  </si>
  <si>
    <t>KNNR 5 0713-03</t>
  </si>
  <si>
    <t>Układanie kabli o masie do 3.0 kg/m w rurach YAKY 4x35mm2</t>
  </si>
  <si>
    <t>KNNR 5 0707-02</t>
  </si>
  <si>
    <t>Układanie kabli o masie do 1.0 kg/m w rowach kablowych ręcznie YAKY 4x35mm2</t>
  </si>
  <si>
    <t>KNNR 5 0716-03</t>
  </si>
  <si>
    <t>Układanie kabli o masie do 1.5 kg/m w słupach YAKY 4x35mm2</t>
  </si>
  <si>
    <t>KNNR 5 0726-10</t>
  </si>
  <si>
    <t>Zarobienie na sucho końca kabla 4-żyłowego o przekroju żył do 50 mm2 na napięcie do 1 kV o izolacji i powłoce z tworzyw sztucznych</t>
  </si>
  <si>
    <t>KNNR 5 1203-05</t>
  </si>
  <si>
    <t>Podłączenie przewodów pojedynczych o przekroju żyły do 50 mm2 pod zaciski lub bolce</t>
  </si>
  <si>
    <t>szt.żył</t>
  </si>
  <si>
    <t>KNNR 5 0605-02</t>
  </si>
  <si>
    <t>Montaż uziomów poziomych w wykopie o głębokości do 0.6 m; kat.gruntu III</t>
  </si>
  <si>
    <t>KNNR 5 0605-08</t>
  </si>
  <si>
    <t>Mechaniczne pogrążanie uziomów pionowych prętowych w gruncie kat.III</t>
  </si>
  <si>
    <t>KNNR 5 1001-01</t>
  </si>
  <si>
    <t>Montaż i stawianie słupów oświetleniowych o masie do 100 kg</t>
  </si>
  <si>
    <t>KNNR 5 1002-01</t>
  </si>
  <si>
    <t>Montaż wysięgników</t>
  </si>
  <si>
    <t>KNNR 5 1003-03</t>
  </si>
  <si>
    <t>Montaż przewodów do opraw oświetleniowych - wciąganie w słupy, rury osłonowe i wysięgniki przy wysokości latarń do 10 m</t>
  </si>
  <si>
    <t>kpl.przew.</t>
  </si>
  <si>
    <t>KNNR 5 1004-01</t>
  </si>
  <si>
    <t>Montaż opraw oświetlenia zewnętrznego na słupie</t>
  </si>
  <si>
    <t>KNNR-W 9 1002-06</t>
  </si>
  <si>
    <t>Demontaż wysięgników rurowych o ciężarze do 30 kg mocowanych na słupie lub ścianie</t>
  </si>
  <si>
    <t>KNNR-W 9 1005-03</t>
  </si>
  <si>
    <t>Demontaż opraw oświetlenia zewnętrznego na trzpieniu słupa lub wysięgniku</t>
  </si>
  <si>
    <t>kpl.</t>
  </si>
  <si>
    <t>KNNR-W 9 1006-04</t>
  </si>
  <si>
    <t>Demontaż zabezpieczeń</t>
  </si>
  <si>
    <t>KNNR-W 9 0903-04</t>
  </si>
  <si>
    <t>Demontaż  przewodów izolowanych typu AsXSn lub podobnych 25 mm2 z udziałem podnośnika samochodowego (analogia) z przeznaczeniem na złom</t>
  </si>
  <si>
    <t>KNNR-W 9 1007-05</t>
  </si>
  <si>
    <t>Demontaż szafek blaszanych z tablicą bezpiecznikową oświetleniowych</t>
  </si>
  <si>
    <t>KNNR 5 1302-03</t>
  </si>
  <si>
    <t>Badanie linii kablowej N.N.- kabel 4-żyłowy</t>
  </si>
  <si>
    <t>odc.</t>
  </si>
  <si>
    <t>KNNR 5 1305-01</t>
  </si>
  <si>
    <t>Sprawdzenie samoczynnego wyłączania zasilania (pierwsza próba)</t>
  </si>
  <si>
    <t>prób.</t>
  </si>
  <si>
    <t>KNNR 5 1305-02</t>
  </si>
  <si>
    <t>Sprawdzenie samoczynnego wyłączania zasilania (następna próba)</t>
  </si>
  <si>
    <t>KNNR 5 1301-01</t>
  </si>
  <si>
    <t>Sprawdzenie i pomiar 1-fazowego obwodu elektrycznego niskiego napięcia</t>
  </si>
  <si>
    <t>pomiar</t>
  </si>
  <si>
    <t>KNR 2-01 0119-03</t>
  </si>
  <si>
    <t>Roboty pomiarowe przy liniowych robotach ziemnych</t>
  </si>
  <si>
    <t>D.07.01.01</t>
  </si>
  <si>
    <t>D.07.01.01a</t>
  </si>
  <si>
    <t xml:space="preserve">Ustawienie słupków z rur stal. o średnicy 60 mm </t>
  </si>
  <si>
    <t>D.06.03.01</t>
  </si>
  <si>
    <t>RAZEM ROBOTY  WYKOŃCZENIOWE</t>
  </si>
  <si>
    <t>ROBOTY  WYKOŃCZENIOWE</t>
  </si>
  <si>
    <t>Montaż i zakup Punktowych Elementów Odblaskowych</t>
  </si>
  <si>
    <t>Umocnie poboczy na ciągu głównym mieszanką niezwiązaną 0/31,5 stabilizowaną mechanicznie grubości 20 cm</t>
  </si>
  <si>
    <t>Mechaniczne rozebranie nawierzchni bitumicznej, różnych materiałów i darniny o średniej grubosci 40 cm materiał do utylizacji na koszt Wykonawcy
=2170+922+191+5</t>
  </si>
  <si>
    <t>Wykop mechaniczny w gruncie kat. III pod konstrukcję nawierzchni i zjazdy do posesji średnio 40 cm z transportem na składowisko Wykonawcy (grunt z wykopu do utylizacji przez Wykonawcę)
=(2170+922+191+5)*0,40</t>
  </si>
  <si>
    <t>Mechaniczne formowanie nasypu w gruncie kat. II - grubości średnio 20 cm nasypy pod konstrukcję nawierzchni z kostki
=(2170+922+191+5)*0,20</t>
  </si>
  <si>
    <t>Zagęszczenie nasypów w gruncie kat. II walcami wibracyjnymi  - nasypy pod konstrukcję nawierzchni z kostki betonowej
=(2170+922+191+5)*0,20</t>
  </si>
  <si>
    <t>Mechaniczne profilowanie i zagęszczenie podłoża pod warstwy konstrukcyjne nawierzchni, grunt kat. III 
=2170+922+191+5</t>
  </si>
  <si>
    <t>Wykonanie podbudowy zasadniczej z mieszanki niezwiązanej z kruszywem C 50/30 grubości 22 cm (konstrukcja nawierzchni z kostki betonowej)
=(2170+922+191+5)-578*0,20-309*0,50</t>
  </si>
  <si>
    <t>Wykonanie warstwy podbudowy zasadniczej z mieszanki związanej cementem C 3/4  grubości 20 cm  (konstrukcja nawierzchni z kostki betonowej)
=(2170+922+191+5)-578*0,20</t>
  </si>
  <si>
    <t>Demontaż istniejącego oznakowania pionowego, znaki i słupki, przewiezienie i przekazanie na składowisko Zamawiającego.</t>
  </si>
  <si>
    <t>Pielęgnacja krzewów : liściastych</t>
  </si>
  <si>
    <t>KNNR 221-0701-01-AA</t>
  </si>
  <si>
    <t>Zakup i sadzenie krzewów, form naturalnych na terenie płaskim w gruncie kat.I-II, z zaprawieniem całkowitym dołów o średnicy i głębokości do 0,3 m, Turzyca pospolita, wielkość sadzonki C1</t>
  </si>
  <si>
    <t>KNNR 221-0301-04-20</t>
  </si>
  <si>
    <t>Zakup i sadzenie krzewów, form naturalnych na terenie płaskim w gruncie kat.I-II, z zaprawieniem całkowitym dołów o średnicy i głębokości do 0,3 m, Kosaciec syberyjski, wielkość sadzonki C1</t>
  </si>
  <si>
    <t>Zakup i sadzenie krzewów, form naturalnych na terenie płaskim w gruncie kat.I-II, z zaprawieniem całkowitym dołów o średnicy i głębokości do 0,15 m, Niezapominajka błotna, wielkość sadzonki p9</t>
  </si>
  <si>
    <t>3.1.2</t>
  </si>
  <si>
    <t>Obrzeża betonowe trawnikowe</t>
  </si>
  <si>
    <t>KNR 1312-1504-04-00</t>
  </si>
  <si>
    <t>Wyłożenie górnej warstwy kruszywem łamanym ozdobnym (kamienie, otoczaki polne), zgodnie z DP</t>
  </si>
  <si>
    <t>KNR 218-0511-03-01</t>
  </si>
  <si>
    <t>Wzmacnianie podłoża gruntowego geosyntetykami na gruntach o umiarkowanej nośności: sposobem ręcznym /geokrata/, zgodnie z DP</t>
  </si>
  <si>
    <t>KNR 911-0101-02-11</t>
  </si>
  <si>
    <t>Wzmacnianie podłoża gruntowego geosyntetykami na gruntach o umiarkowanej nośności: sposobem ręcznym /geowłóknina separacyjna polipropylenowa/, zgodnie z DP</t>
  </si>
  <si>
    <t>KNR 911-0101-02-10</t>
  </si>
  <si>
    <t>Wykonanie podłoża z tłucznia kamiennego o uziarnieniu min.31,5mm, zgodnie z DP</t>
  </si>
  <si>
    <t>Wykonanie podłoża z warstwy ziemii urodzajnej (wzbogacona gleba), zgodnie z DP</t>
  </si>
  <si>
    <t>KNR 218-0511-03-00</t>
  </si>
  <si>
    <t>Wykonanie podłoża z kruszywa dolomitowego, zgodnie z DP</t>
  </si>
  <si>
    <t>Zakup, dostawa i montaż muru oporowego typu "L" 100x99x80, beton klasy C30/37, klasa wytrzymałości na obciążenia naziomem 16,7 kN/m2, zgodnie z DP</t>
  </si>
  <si>
    <t>AW</t>
  </si>
  <si>
    <t xml:space="preserve">Opłata za przyjęcie ziemi na składowisko - wg stawki składowiska </t>
  </si>
  <si>
    <t>Nakłady uzupełniające za każdy dalszy rozpoczęty 1 km odległości transportu ponad 1 km, przy przewozie po drogach o nawierzchni utwardzonej, gruntu kat.I-IV, samochodami samowyładowczymi: 5-10 t /KROTNOŚĆ /12/</t>
  </si>
  <si>
    <t>KNNR 001-0208-02-10</t>
  </si>
  <si>
    <t>Roboty ziemne wykonywane koparkami podsiębiernymi, z transportem urobku samochodami samowyładowczymi na odległość do 1 km, przy pojemności łyżki koparki: 0,60 m3 /grunt kat. III-IV i samochód 5-10 t/</t>
  </si>
  <si>
    <t>KNNR 001-0202-08-10</t>
  </si>
  <si>
    <t xml:space="preserve">Roboty ziemne </t>
  </si>
  <si>
    <t>3.1.1</t>
  </si>
  <si>
    <t>BUDOWA MULDY CHŁONNEJ (MULDY  CHŁONNE MCh2)</t>
  </si>
  <si>
    <t>3.1</t>
  </si>
  <si>
    <t>Wykonanie podłoża z warstwy ziemii urodzajnej , zgodnie z DP</t>
  </si>
  <si>
    <t>Humusowanie i obsianie skarp - humus dowożony</t>
  </si>
  <si>
    <t>KNR 201-0510-01-00</t>
  </si>
  <si>
    <t>Humusowanie i obsianie skarp - humus uprzednio zebrany</t>
  </si>
  <si>
    <t>Plantowanie (obrobienie na czysto) powierzchni skarp i dna wykopów wykonywanych ręcznie, w gruncie kat.IV</t>
  </si>
  <si>
    <t>KNR 201-0506-02-00</t>
  </si>
  <si>
    <t xml:space="preserve">Ręczne usunięcie warstwy ziemi urodzajnej /humusu/ o grubości warstwy do 15 cm, </t>
  </si>
  <si>
    <t>KNR 201-0125-02-00</t>
  </si>
  <si>
    <t>2.1.1</t>
  </si>
  <si>
    <t>BUDOWA MULDY CHŁONNEJ (MULDY  CHŁONNE MCh1)</t>
  </si>
  <si>
    <t>2.1</t>
  </si>
  <si>
    <t xml:space="preserve">Razem dział: Roboty montażowe </t>
  </si>
  <si>
    <t>Montaż odwodnienia,(koryt filtracyjnych) o szerokości w świetle do 400 mm i wysokości ponad 450 do 600 mm,przy klasie obciążenia D400,z korytek z tworz.sztucznego przykrytych rusztem żeliwnym,korytka wypełnione substratem, zgodnie z DP</t>
  </si>
  <si>
    <t>KNR 926-0116-04-AA</t>
  </si>
  <si>
    <t>Koryta filtracyjne wypełnione substratem (systemu rozsączająco - oczyszczającego),koryta filtracyjne z PP, zwieńczone pokrywą żeliwną klasy D400, koryta wypełnione substratem (granulatem filtracyjnym), wraz z wyposażeniem dodatkowym (śrubami  do zabezpieczenia pokrywy żeliwnej), łączna długość koryt filtracyjnych 68 mb, zgodnie z DP (zakup i dostawa)</t>
  </si>
  <si>
    <t xml:space="preserve">Roboty montażowe </t>
  </si>
  <si>
    <t>1.1.3</t>
  </si>
  <si>
    <t xml:space="preserve">Studzienki drenażowe zbierające w dnie wykopu o średnicy nominalnej 400mm, o głębokości 1,0m, z rur z tworzyw sztucznych kielichowych /wraz z praca pomp i tymczasowym rurociągiem do odwodnienia wykopów (monntaż i demontaż) - wąż parciany strażacki Dn80mm z odprowadzeniem wody do odbiornika </t>
  </si>
  <si>
    <t xml:space="preserve">KNNR  001-0618-01-00 </t>
  </si>
  <si>
    <t xml:space="preserve"> Igłofiltry o średnicy do 63 mm, wpłukiwane jednostronnie bezpośrednio w grunt, w obsypce, do głębokości: 3,0 m, w rozstawie co 1,0m - wraz z pracą agregatu pompowego i igłofiltrów oraz odprowadzeniem pompowanej wody do odbiorników </t>
  </si>
  <si>
    <t xml:space="preserve">Montaż i demontaż kładki  inwentaryzowanej nad wykopem -  dla ruchu pieszego </t>
  </si>
  <si>
    <t xml:space="preserve"> 401-0107-09-AA</t>
  </si>
  <si>
    <t xml:space="preserve">Zasypanie wykopów fundament.podłużnych,punktowych, rowów, wykopów obiektowych, w gruncie kat.I-II, z zagęszczeniem mechanicznym -grub.zagęszczanej warstwy max. 30cm. Zasypka piaskiem dowożonym (uzupełnienie do wysokości warstw konstrukcyjnych nawierzchni). </t>
  </si>
  <si>
    <t>KNNR  001-0214-04-00</t>
  </si>
  <si>
    <t>Wykonanie budowli betonowych wraz z ustawieniem i rozebraniem deskowań, oraz ułożeniem masy betonowej. Warstwa betonowa z betonu C20/25 pod posadowienie korytek filtracyjnych, zgodnie z DP</t>
  </si>
  <si>
    <t>KNNR  010-0201-05-00</t>
  </si>
  <si>
    <t xml:space="preserve">Wykonanie podsypki pod  korytka filtracyjne o grubości 5,0cm - z piasku dowiezionego (zakupionego) </t>
  </si>
  <si>
    <t>KNR  218-0511-03-00</t>
  </si>
  <si>
    <t>Wzmacnianie podłoża gruntowego geosyntetykami na gruntach o umiarkowanej nośności: sposobem ręcznym /geowłóknina separacyjna polipropylenowa/ zgodnie z DP</t>
  </si>
  <si>
    <t>KNR 911-0101-02-00</t>
  </si>
  <si>
    <t>Wykonanie podłoża z grysu granitowego o frakcji 16/32, zgodnie z DP</t>
  </si>
  <si>
    <t>Nakłady uzupełniające za każdy dalszy rozpoczety 1 km odległości transportu ponad 1 km, przy przewozie po drogach o nawierzchni utwardzonej, gruntu kat.I-IV, samochodami samowyładowczymi: 5-10 t /KROTNOŚĆ 12/</t>
  </si>
  <si>
    <t>KNNR  001-0208-02-10</t>
  </si>
  <si>
    <t>KNNR  001-0202-08-10</t>
  </si>
  <si>
    <t>BUDOWA KORYT FILTRACYNYCH  WYPEŁNIONYCH SUBSTRATEM</t>
  </si>
  <si>
    <t>1.1</t>
  </si>
  <si>
    <t>BUDOWA SYSTEMU ROZSĄCZAJĄCO - OCZYSZCZAJĄCEGO W ULICY ZACHODNIEJ W LESZNIE</t>
  </si>
  <si>
    <t>elementów rozliczeniowych</t>
  </si>
  <si>
    <t>Wyszczególnienie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</si>
  <si>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</si>
  <si>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</si>
  <si>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</si>
  <si>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Wykonanie oznakowania poziomego białego z kostki betonowej</t>
  </si>
  <si>
    <t>Ustawienie krawężnika betonowego najazdowego 15x22 cm na podsypce cementowo-piaskowej grubości 3,0 cm wraz z ławą betonową z oporem
=309-57 koryta -11,43*2 muldy</t>
  </si>
  <si>
    <t>Ułożenie ścieku z dwóch rzędów kostki betonowej na ławie betonowej
=309-57 koryta -11,43*2 muldy</t>
  </si>
  <si>
    <t>Zakup i montaż tarcz znaków drogowych (małych) (folia typ 2) 
wedłuf projektu SOR</t>
  </si>
  <si>
    <t>Ułożenie kostki brukowej betonowej kolorowej (grafitowej i czerwonej) grubości 8 cm na podsypce cementowo-piaskowej gr 3 cm
=(922+191+5)</t>
  </si>
  <si>
    <t>Ułożenie kostki brukowej betonowej szarej grubości 8 cm na podsypce cementowo-piaskowej gr 3 cm
=2170-23*2 muldy</t>
  </si>
  <si>
    <t>Ustawienie opornika betonowego 12x25 cm na ławie betonowej z oporem
=578+218</t>
  </si>
  <si>
    <t>NASADZENIA ROŚLIN</t>
  </si>
  <si>
    <t>RAZEM: BUDOWA KORYT FILTRACYNYCH  WYPEŁNIONYCH SUBSTRATEM</t>
  </si>
  <si>
    <t>W ZAKRESIE ULICY ZACHODNIEJ W LESZNIE</t>
  </si>
  <si>
    <t>Razem - suma poz. 1 do 14</t>
  </si>
  <si>
    <t>Podatek VAT - 23%  poz. 15</t>
  </si>
  <si>
    <t>OGÓŁEM - suma poz.  15 i 16</t>
  </si>
  <si>
    <t>ST-02-SO</t>
  </si>
  <si>
    <t>Razem dział:  Nasadzenia roślin</t>
  </si>
  <si>
    <t>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</si>
</sst>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,##0.0"/>
    <numFmt numFmtId="166" formatCode="#,##0_ ;[Red]\-#,##0\ "/>
    <numFmt numFmtId="167" formatCode="#,##0.00&quot;,     &quot;;\-#,##0.00&quot;,     &quot;;&quot; -&quot;#&quot;      &quot;;@\ "/>
    <numFmt numFmtId="168" formatCode="#,##0&quot; F&quot;_);[Red]\(#,##0&quot; F&quot;\)"/>
    <numFmt numFmtId="169" formatCode="#,##0.00&quot; F&quot;_);[Red]\(#,##0.00&quot; F&quot;\)"/>
    <numFmt numFmtId="170" formatCode="#,##0.00\ _z_ł"/>
  </numFmts>
  <fonts count="90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0"/>
      <name val="Helv"/>
      <family val="2"/>
      <charset val="238"/>
    </font>
    <font>
      <sz val="11"/>
      <color indexed="8"/>
      <name val="Calibri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1"/>
      <charset val="238"/>
    </font>
    <font>
      <sz val="11"/>
      <color indexed="9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20"/>
      <name val="Calibri"/>
      <family val="1"/>
      <charset val="238"/>
    </font>
    <font>
      <b/>
      <sz val="11"/>
      <color indexed="52"/>
      <name val="Calibri"/>
      <family val="1"/>
      <charset val="238"/>
    </font>
    <font>
      <b/>
      <sz val="11"/>
      <color indexed="9"/>
      <name val="Calibri"/>
      <family val="1"/>
      <charset val="238"/>
    </font>
    <font>
      <sz val="10"/>
      <name val="MS Sans Serif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i/>
      <sz val="11"/>
      <color indexed="23"/>
      <name val="Calibri"/>
      <family val="1"/>
      <charset val="238"/>
    </font>
    <font>
      <sz val="11"/>
      <color indexed="17"/>
      <name val="Calibri"/>
      <family val="1"/>
      <charset val="238"/>
    </font>
    <font>
      <b/>
      <sz val="15"/>
      <color indexed="56"/>
      <name val="Calibri"/>
      <family val="1"/>
      <charset val="238"/>
    </font>
    <font>
      <b/>
      <sz val="13"/>
      <color indexed="56"/>
      <name val="Calibri"/>
      <family val="1"/>
      <charset val="238"/>
    </font>
    <font>
      <b/>
      <sz val="11"/>
      <color indexed="56"/>
      <name val="Calibri"/>
      <family val="1"/>
      <charset val="238"/>
    </font>
    <font>
      <sz val="11"/>
      <color indexed="62"/>
      <name val="Calibri"/>
      <family val="1"/>
      <charset val="238"/>
    </font>
    <font>
      <sz val="11"/>
      <color indexed="52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indexed="52"/>
      <name val="Calibri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indexed="60"/>
      <name val="Calibri"/>
      <family val="1"/>
      <charset val="238"/>
    </font>
    <font>
      <sz val="11"/>
      <color indexed="6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0"/>
      <name val="Pl Courier New"/>
    </font>
    <font>
      <sz val="10"/>
      <color rgb="FF000000"/>
      <name val="Times New Roman"/>
      <family val="1"/>
      <charset val="238"/>
    </font>
    <font>
      <sz val="10"/>
      <name val="MS Sans Serif"/>
      <family val="1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63"/>
      <name val="Calibri"/>
      <family val="1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indexed="56"/>
      <name val="Cambria"/>
      <family val="1"/>
      <charset val="238"/>
    </font>
    <font>
      <b/>
      <sz val="11"/>
      <color indexed="8"/>
      <name val="Calibri"/>
      <family val="1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1"/>
      <charset val="238"/>
    </font>
    <font>
      <sz val="11"/>
      <color indexed="2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b/>
      <sz val="14"/>
      <name val="Arial Black"/>
      <family val="2"/>
      <charset val="238"/>
    </font>
    <font>
      <b/>
      <sz val="12"/>
      <name val="Arial Black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b/>
      <sz val="10"/>
      <name val="Verdana"/>
      <family val="2"/>
      <charset val="238"/>
    </font>
    <font>
      <b/>
      <sz val="9"/>
      <name val="Arial"/>
      <family val="2"/>
      <charset val="238"/>
    </font>
    <font>
      <sz val="10"/>
      <name val="Arial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charset val="238"/>
      <scheme val="minor"/>
    </font>
    <font>
      <vertAlign val="superscript"/>
      <sz val="10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8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  <fill>
      <patternFill patternType="gray0625">
        <bgColor auto="1"/>
      </patternFill>
    </fill>
    <fill>
      <patternFill patternType="solid">
        <fgColor theme="0" tint="-4.9989318521683403E-2"/>
        <bgColor indexed="64"/>
      </patternFill>
    </fill>
  </fills>
  <borders count="166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/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dotted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/>
      <bottom/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/>
      <top style="thin">
        <color indexed="57"/>
      </top>
      <bottom style="medium">
        <color indexed="5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thin">
        <color indexed="57"/>
      </bottom>
      <diagonal/>
    </border>
    <border>
      <left style="thin">
        <color indexed="57"/>
      </left>
      <right/>
      <top style="medium">
        <color indexed="57"/>
      </top>
      <bottom style="thin">
        <color indexed="57"/>
      </bottom>
      <diagonal/>
    </border>
    <border>
      <left/>
      <right/>
      <top style="hair">
        <color theme="6" tint="-0.499984740745262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rgb="FF00B050"/>
      </left>
      <right style="thin">
        <color rgb="FF00B050"/>
      </right>
      <top style="double">
        <color indexed="57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double">
        <color indexed="57"/>
      </top>
      <bottom style="thin">
        <color rgb="FF00B050"/>
      </bottom>
      <diagonal/>
    </border>
    <border>
      <left style="thin">
        <color rgb="FF00B050"/>
      </left>
      <right style="medium">
        <color rgb="FF00B050"/>
      </right>
      <top style="double">
        <color indexed="57"/>
      </top>
      <bottom style="thin">
        <color rgb="FF00B050"/>
      </bottom>
      <diagonal/>
    </border>
    <border>
      <left style="medium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rgb="FF00B050"/>
      </right>
      <top style="thin">
        <color rgb="FF00B050"/>
      </top>
      <bottom style="thin">
        <color rgb="FF00B050"/>
      </bottom>
      <diagonal/>
    </border>
    <border>
      <left style="medium">
        <color rgb="FF00B050"/>
      </left>
      <right style="thin">
        <color rgb="FF00B050"/>
      </right>
      <top style="thin">
        <color rgb="FF00B050"/>
      </top>
      <bottom style="medium">
        <color indexed="57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medium">
        <color indexed="57"/>
      </bottom>
      <diagonal/>
    </border>
    <border>
      <left style="thin">
        <color rgb="FF00B050"/>
      </left>
      <right style="medium">
        <color rgb="FF00B050"/>
      </right>
      <top style="thin">
        <color rgb="FF00B050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rgb="FF00B050"/>
      </right>
      <top style="double">
        <color indexed="57"/>
      </top>
      <bottom style="thin">
        <color rgb="FF00B050"/>
      </bottom>
      <diagonal/>
    </border>
    <border>
      <left style="thin">
        <color rgb="FF00B050"/>
      </left>
      <right style="medium">
        <color indexed="57"/>
      </right>
      <top style="double">
        <color indexed="57"/>
      </top>
      <bottom style="thin">
        <color rgb="FF00B050"/>
      </bottom>
      <diagonal/>
    </border>
    <border>
      <left style="medium">
        <color indexed="57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indexed="57"/>
      </right>
      <top style="thin">
        <color rgb="FF00B050"/>
      </top>
      <bottom style="thin">
        <color rgb="FF00B050"/>
      </bottom>
      <diagonal/>
    </border>
    <border>
      <left style="medium">
        <color indexed="57"/>
      </left>
      <right style="thin">
        <color rgb="FF00B050"/>
      </right>
      <top style="thin">
        <color rgb="FF00B050"/>
      </top>
      <bottom style="medium">
        <color indexed="57"/>
      </bottom>
      <diagonal/>
    </border>
    <border>
      <left style="thin">
        <color rgb="FF00B050"/>
      </left>
      <right style="medium">
        <color indexed="57"/>
      </right>
      <top style="thin">
        <color rgb="FF00B050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/>
      <bottom style="medium">
        <color indexed="57"/>
      </bottom>
      <diagonal/>
    </border>
    <border>
      <left style="thin">
        <color indexed="57"/>
      </left>
      <right style="thin">
        <color indexed="57"/>
      </right>
      <top/>
      <bottom style="medium">
        <color indexed="57"/>
      </bottom>
      <diagonal/>
    </border>
    <border>
      <left style="thin">
        <color indexed="57"/>
      </left>
      <right style="medium">
        <color indexed="57"/>
      </right>
      <top/>
      <bottom style="medium">
        <color indexed="57"/>
      </bottom>
      <diagonal/>
    </border>
    <border>
      <left style="thin">
        <color indexed="57"/>
      </left>
      <right style="dotted">
        <color indexed="57"/>
      </right>
      <top style="double">
        <color indexed="57"/>
      </top>
      <bottom style="thin">
        <color indexed="57"/>
      </bottom>
      <diagonal/>
    </border>
    <border>
      <left style="dotted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medium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 style="thin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/>
      <top/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 style="thin">
        <color rgb="FF00B050"/>
      </left>
      <right style="double">
        <color indexed="57"/>
      </right>
      <top style="thin">
        <color rgb="FF00B050"/>
      </top>
      <bottom style="thin">
        <color rgb="FF00B050"/>
      </bottom>
      <diagonal/>
    </border>
    <border>
      <left/>
      <right style="double">
        <color indexed="57"/>
      </right>
      <top style="double">
        <color indexed="57"/>
      </top>
      <bottom style="double">
        <color rgb="FF00B050"/>
      </bottom>
      <diagonal/>
    </border>
    <border>
      <left/>
      <right/>
      <top style="double">
        <color indexed="57"/>
      </top>
      <bottom style="double">
        <color rgb="FF00B050"/>
      </bottom>
      <diagonal/>
    </border>
    <border>
      <left style="double">
        <color indexed="57"/>
      </left>
      <right/>
      <top style="double">
        <color indexed="57"/>
      </top>
      <bottom style="double">
        <color rgb="FF00B050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/>
      <right/>
      <top/>
      <bottom style="double">
        <color indexed="57"/>
      </bottom>
      <diagonal/>
    </border>
    <border>
      <left style="thin">
        <color rgb="FF00B050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double">
        <color indexed="57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double">
        <color indexed="57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indexed="57"/>
      </right>
      <top style="double">
        <color rgb="FF00B050"/>
      </top>
      <bottom style="thin">
        <color rgb="FF00B050"/>
      </bottom>
      <diagonal/>
    </border>
    <border>
      <left style="double">
        <color indexed="57"/>
      </left>
      <right/>
      <top style="double">
        <color indexed="57"/>
      </top>
      <bottom/>
      <diagonal/>
    </border>
    <border>
      <left/>
      <right/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/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double">
        <color indexed="57"/>
      </left>
      <right style="thin">
        <color rgb="FF00B050"/>
      </right>
      <top style="thin">
        <color indexed="57"/>
      </top>
      <bottom style="thin">
        <color indexed="57"/>
      </bottom>
      <diagonal/>
    </border>
    <border>
      <left style="thin">
        <color rgb="FF00B050"/>
      </left>
      <right style="thin">
        <color rgb="FF00B050"/>
      </right>
      <top style="thin">
        <color indexed="57"/>
      </top>
      <bottom style="thin">
        <color indexed="57"/>
      </bottom>
      <diagonal/>
    </border>
    <border>
      <left style="thin">
        <color rgb="FF00B050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rgb="FF00B050"/>
      </right>
      <top style="thin">
        <color rgb="FF00B050"/>
      </top>
      <bottom style="thin">
        <color rgb="FF00B050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 style="double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double">
        <color rgb="FF00B050"/>
      </bottom>
      <diagonal/>
    </border>
    <border>
      <left style="thin">
        <color rgb="FF00B050"/>
      </left>
      <right style="double">
        <color rgb="FF00B050"/>
      </right>
      <top style="thin">
        <color rgb="FF00B050"/>
      </top>
      <bottom style="double">
        <color rgb="FF00B050"/>
      </bottom>
      <diagonal/>
    </border>
    <border>
      <left style="double">
        <color rgb="FF00B050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rgb="FF00B050"/>
      </right>
      <top style="double">
        <color rgb="FF00B050"/>
      </top>
      <bottom style="thin">
        <color rgb="FF00B050"/>
      </bottom>
      <diagonal/>
    </border>
    <border>
      <left/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rgb="FF00B050"/>
      </right>
      <top style="double">
        <color indexed="57"/>
      </top>
      <bottom style="thin">
        <color rgb="FF00B050"/>
      </bottom>
      <diagonal/>
    </border>
    <border>
      <left style="thin">
        <color rgb="FF00B050"/>
      </left>
      <right style="double">
        <color indexed="57"/>
      </right>
      <top style="double">
        <color indexed="57"/>
      </top>
      <bottom style="thin">
        <color rgb="FF00B050"/>
      </bottom>
      <diagonal/>
    </border>
    <border>
      <left style="thin">
        <color rgb="FF00B050"/>
      </left>
      <right style="double">
        <color indexed="57"/>
      </right>
      <top style="thin">
        <color rgb="FF00B050"/>
      </top>
      <bottom style="thin">
        <color indexed="57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</borders>
  <cellStyleXfs count="225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6" fillId="34" borderId="0" applyNumberFormat="0" applyAlignment="0" applyProtection="0"/>
    <xf numFmtId="0" fontId="16" fillId="35" borderId="0" applyNumberFormat="0" applyAlignment="0" applyProtection="0"/>
    <xf numFmtId="0" fontId="16" fillId="36" borderId="0" applyNumberFormat="0" applyAlignment="0" applyProtection="0"/>
    <xf numFmtId="0" fontId="16" fillId="37" borderId="0" applyNumberFormat="0" applyAlignment="0" applyProtection="0"/>
    <xf numFmtId="0" fontId="16" fillId="38" borderId="0" applyNumberFormat="0" applyAlignment="0" applyProtection="0"/>
    <xf numFmtId="0" fontId="16" fillId="39" borderId="0" applyNumberFormat="0" applyAlignment="0" applyProtection="0"/>
    <xf numFmtId="0" fontId="17" fillId="40" borderId="0" applyNumberFormat="0" applyBorder="0" applyAlignment="0" applyProtection="0"/>
    <xf numFmtId="0" fontId="12" fillId="11" borderId="0" applyNumberFormat="0" applyBorder="0" applyAlignment="0" applyProtection="0"/>
    <xf numFmtId="0" fontId="17" fillId="41" borderId="0" applyNumberFormat="0" applyBorder="0" applyAlignment="0" applyProtection="0"/>
    <xf numFmtId="0" fontId="12" fillId="15" borderId="0" applyNumberFormat="0" applyBorder="0" applyAlignment="0" applyProtection="0"/>
    <xf numFmtId="0" fontId="17" fillId="42" borderId="0" applyNumberFormat="0" applyBorder="0" applyAlignment="0" applyProtection="0"/>
    <xf numFmtId="0" fontId="12" fillId="19" borderId="0" applyNumberFormat="0" applyBorder="0" applyAlignment="0" applyProtection="0"/>
    <xf numFmtId="0" fontId="17" fillId="43" borderId="0" applyNumberFormat="0" applyBorder="0" applyAlignment="0" applyProtection="0"/>
    <xf numFmtId="0" fontId="12" fillId="23" borderId="0" applyNumberFormat="0" applyBorder="0" applyAlignment="0" applyProtection="0"/>
    <xf numFmtId="0" fontId="17" fillId="44" borderId="0" applyNumberFormat="0" applyBorder="0" applyAlignment="0" applyProtection="0"/>
    <xf numFmtId="0" fontId="12" fillId="27" borderId="0" applyNumberFormat="0" applyBorder="0" applyAlignment="0" applyProtection="0"/>
    <xf numFmtId="0" fontId="17" fillId="45" borderId="0" applyNumberFormat="0" applyBorder="0" applyAlignment="0" applyProtection="0"/>
    <xf numFmtId="0" fontId="12" fillId="31" borderId="0" applyNumberFormat="0" applyBorder="0" applyAlignment="0" applyProtection="0"/>
    <xf numFmtId="0" fontId="16" fillId="46" borderId="0" applyNumberFormat="0" applyAlignment="0" applyProtection="0"/>
    <xf numFmtId="0" fontId="16" fillId="47" borderId="0" applyNumberFormat="0" applyAlignment="0" applyProtection="0"/>
    <xf numFmtId="0" fontId="16" fillId="48" borderId="0" applyNumberFormat="0" applyAlignment="0" applyProtection="0"/>
    <xf numFmtId="0" fontId="16" fillId="37" borderId="0" applyNumberFormat="0" applyAlignment="0" applyProtection="0"/>
    <xf numFmtId="0" fontId="16" fillId="46" borderId="0" applyNumberFormat="0" applyAlignment="0" applyProtection="0"/>
    <xf numFmtId="0" fontId="16" fillId="49" borderId="0" applyNumberFormat="0" applyAlignment="0" applyProtection="0"/>
    <xf numFmtId="0" fontId="17" fillId="50" borderId="0" applyNumberFormat="0" applyBorder="0" applyAlignment="0" applyProtection="0"/>
    <xf numFmtId="0" fontId="12" fillId="12" borderId="0" applyNumberFormat="0" applyBorder="0" applyAlignment="0" applyProtection="0"/>
    <xf numFmtId="0" fontId="17" fillId="51" borderId="0" applyNumberFormat="0" applyBorder="0" applyAlignment="0" applyProtection="0"/>
    <xf numFmtId="0" fontId="12" fillId="16" borderId="0" applyNumberFormat="0" applyBorder="0" applyAlignment="0" applyProtection="0"/>
    <xf numFmtId="0" fontId="17" fillId="52" borderId="0" applyNumberFormat="0" applyBorder="0" applyAlignment="0" applyProtection="0"/>
    <xf numFmtId="0" fontId="12" fillId="20" borderId="0" applyNumberFormat="0" applyBorder="0" applyAlignment="0" applyProtection="0"/>
    <xf numFmtId="0" fontId="17" fillId="43" borderId="0" applyNumberFormat="0" applyBorder="0" applyAlignment="0" applyProtection="0"/>
    <xf numFmtId="0" fontId="12" fillId="24" borderId="0" applyNumberFormat="0" applyBorder="0" applyAlignment="0" applyProtection="0"/>
    <xf numFmtId="0" fontId="17" fillId="50" borderId="0" applyNumberFormat="0" applyBorder="0" applyAlignment="0" applyProtection="0"/>
    <xf numFmtId="0" fontId="12" fillId="28" borderId="0" applyNumberFormat="0" applyBorder="0" applyAlignment="0" applyProtection="0"/>
    <xf numFmtId="0" fontId="17" fillId="53" borderId="0" applyNumberFormat="0" applyBorder="0" applyAlignment="0" applyProtection="0"/>
    <xf numFmtId="0" fontId="12" fillId="32" borderId="0" applyNumberFormat="0" applyBorder="0" applyAlignment="0" applyProtection="0"/>
    <xf numFmtId="0" fontId="18" fillId="54" borderId="0" applyNumberFormat="0" applyAlignment="0" applyProtection="0"/>
    <xf numFmtId="0" fontId="18" fillId="47" borderId="0" applyNumberFormat="0" applyAlignment="0" applyProtection="0"/>
    <xf numFmtId="0" fontId="18" fillId="48" borderId="0" applyNumberFormat="0" applyAlignment="0" applyProtection="0"/>
    <xf numFmtId="0" fontId="18" fillId="55" borderId="0" applyNumberFormat="0" applyAlignment="0" applyProtection="0"/>
    <xf numFmtId="0" fontId="18" fillId="56" borderId="0" applyNumberFormat="0" applyAlignment="0" applyProtection="0"/>
    <xf numFmtId="0" fontId="18" fillId="57" borderId="0" applyNumberFormat="0" applyAlignment="0" applyProtection="0"/>
    <xf numFmtId="0" fontId="19" fillId="58" borderId="0" applyNumberFormat="0" applyBorder="0" applyAlignment="0" applyProtection="0"/>
    <xf numFmtId="0" fontId="20" fillId="13" borderId="0" applyNumberFormat="0" applyBorder="0" applyAlignment="0" applyProtection="0"/>
    <xf numFmtId="0" fontId="19" fillId="51" borderId="0" applyNumberFormat="0" applyBorder="0" applyAlignment="0" applyProtection="0"/>
    <xf numFmtId="0" fontId="20" fillId="17" borderId="0" applyNumberFormat="0" applyBorder="0" applyAlignment="0" applyProtection="0"/>
    <xf numFmtId="0" fontId="19" fillId="52" borderId="0" applyNumberFormat="0" applyBorder="0" applyAlignment="0" applyProtection="0"/>
    <xf numFmtId="0" fontId="20" fillId="21" borderId="0" applyNumberFormat="0" applyBorder="0" applyAlignment="0" applyProtection="0"/>
    <xf numFmtId="0" fontId="19" fillId="59" borderId="0" applyNumberFormat="0" applyBorder="0" applyAlignment="0" applyProtection="0"/>
    <xf numFmtId="0" fontId="20" fillId="25" borderId="0" applyNumberFormat="0" applyBorder="0" applyAlignment="0" applyProtection="0"/>
    <xf numFmtId="0" fontId="19" fillId="60" borderId="0" applyNumberFormat="0" applyBorder="0" applyAlignment="0" applyProtection="0"/>
    <xf numFmtId="0" fontId="20" fillId="29" borderId="0" applyNumberFormat="0" applyBorder="0" applyAlignment="0" applyProtection="0"/>
    <xf numFmtId="0" fontId="19" fillId="61" borderId="0" applyNumberFormat="0" applyBorder="0" applyAlignment="0" applyProtection="0"/>
    <xf numFmtId="0" fontId="20" fillId="33" borderId="0" applyNumberFormat="0" applyBorder="0" applyAlignment="0" applyProtection="0"/>
    <xf numFmtId="0" fontId="18" fillId="62" borderId="0" applyNumberFormat="0" applyAlignment="0" applyProtection="0"/>
    <xf numFmtId="0" fontId="18" fillId="63" borderId="0" applyNumberFormat="0" applyAlignment="0" applyProtection="0"/>
    <xf numFmtId="0" fontId="18" fillId="64" borderId="0" applyNumberFormat="0" applyAlignment="0" applyProtection="0"/>
    <xf numFmtId="0" fontId="18" fillId="55" borderId="0" applyNumberFormat="0" applyAlignment="0" applyProtection="0"/>
    <xf numFmtId="0" fontId="18" fillId="56" borderId="0" applyNumberFormat="0" applyAlignment="0" applyProtection="0"/>
    <xf numFmtId="0" fontId="18" fillId="65" borderId="0" applyNumberFormat="0" applyAlignment="0" applyProtection="0"/>
    <xf numFmtId="0" fontId="19" fillId="66" borderId="0" applyNumberFormat="0" applyBorder="0" applyAlignment="0" applyProtection="0"/>
    <xf numFmtId="0" fontId="20" fillId="10" borderId="0" applyNumberFormat="0" applyBorder="0" applyAlignment="0" applyProtection="0"/>
    <xf numFmtId="0" fontId="19" fillId="67" borderId="0" applyNumberFormat="0" applyBorder="0" applyAlignment="0" applyProtection="0"/>
    <xf numFmtId="0" fontId="20" fillId="14" borderId="0" applyNumberFormat="0" applyBorder="0" applyAlignment="0" applyProtection="0"/>
    <xf numFmtId="0" fontId="19" fillId="68" borderId="0" applyNumberFormat="0" applyBorder="0" applyAlignment="0" applyProtection="0"/>
    <xf numFmtId="0" fontId="20" fillId="18" borderId="0" applyNumberFormat="0" applyBorder="0" applyAlignment="0" applyProtection="0"/>
    <xf numFmtId="0" fontId="19" fillId="59" borderId="0" applyNumberFormat="0" applyBorder="0" applyAlignment="0" applyProtection="0"/>
    <xf numFmtId="0" fontId="20" fillId="22" borderId="0" applyNumberFormat="0" applyBorder="0" applyAlignment="0" applyProtection="0"/>
    <xf numFmtId="0" fontId="19" fillId="60" borderId="0" applyNumberFormat="0" applyBorder="0" applyAlignment="0" applyProtection="0"/>
    <xf numFmtId="0" fontId="20" fillId="26" borderId="0" applyNumberFormat="0" applyBorder="0" applyAlignment="0" applyProtection="0"/>
    <xf numFmtId="0" fontId="19" fillId="69" borderId="0" applyNumberFormat="0" applyBorder="0" applyAlignment="0" applyProtection="0"/>
    <xf numFmtId="0" fontId="20" fillId="30" borderId="0" applyNumberFormat="0" applyBorder="0" applyAlignment="0" applyProtection="0"/>
    <xf numFmtId="0" fontId="21" fillId="35" borderId="0" applyNumberFormat="0" applyAlignment="0" applyProtection="0"/>
    <xf numFmtId="0" fontId="22" fillId="70" borderId="60" applyNumberFormat="0" applyAlignment="0" applyProtection="0"/>
    <xf numFmtId="0" fontId="23" fillId="71" borderId="61" applyNumberFormat="0" applyAlignment="0" applyProtection="0"/>
    <xf numFmtId="166" fontId="24" fillId="0" borderId="0" applyFont="0" applyFill="0" applyBorder="0" applyAlignment="0" applyProtection="0"/>
    <xf numFmtId="167" fontId="13" fillId="0" borderId="0" applyFont="0" applyFill="0" applyAlignment="0" applyProtection="0"/>
    <xf numFmtId="168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25" fillId="45" borderId="60" applyNumberFormat="0" applyAlignment="0" applyProtection="0"/>
    <xf numFmtId="0" fontId="26" fillId="6" borderId="54" applyNumberFormat="0" applyAlignment="0" applyProtection="0"/>
    <xf numFmtId="0" fontId="27" fillId="72" borderId="62" applyNumberFormat="0" applyAlignment="0" applyProtection="0"/>
    <xf numFmtId="0" fontId="28" fillId="7" borderId="55" applyNumberFormat="0" applyAlignment="0" applyProtection="0"/>
    <xf numFmtId="0" fontId="29" fillId="42" borderId="0" applyNumberFormat="0" applyBorder="0" applyAlignment="0" applyProtection="0"/>
    <xf numFmtId="0" fontId="30" fillId="3" borderId="0" applyNumberFormat="0" applyBorder="0" applyAlignment="0" applyProtection="0"/>
    <xf numFmtId="164" fontId="13" fillId="0" borderId="0" applyFont="0" applyFill="0" applyBorder="0" applyAlignment="0" applyProtection="0"/>
    <xf numFmtId="0" fontId="31" fillId="0" borderId="0" applyNumberFormat="0" applyFill="0" applyAlignment="0" applyProtection="0"/>
    <xf numFmtId="0" fontId="32" fillId="36" borderId="0" applyNumberFormat="0" applyAlignment="0" applyProtection="0"/>
    <xf numFmtId="0" fontId="33" fillId="0" borderId="63" applyNumberFormat="0" applyFill="0" applyAlignment="0" applyProtection="0"/>
    <xf numFmtId="0" fontId="34" fillId="0" borderId="64" applyNumberFormat="0" applyFill="0" applyAlignment="0" applyProtection="0"/>
    <xf numFmtId="0" fontId="35" fillId="0" borderId="65" applyNumberFormat="0" applyFill="0" applyAlignment="0" applyProtection="0"/>
    <xf numFmtId="0" fontId="35" fillId="0" borderId="0" applyNumberFormat="0" applyFill="0" applyAlignment="0" applyProtection="0"/>
    <xf numFmtId="0" fontId="36" fillId="39" borderId="60" applyNumberFormat="0" applyAlignment="0" applyProtection="0"/>
    <xf numFmtId="0" fontId="37" fillId="0" borderId="66" applyNumberFormat="0" applyFill="0" applyAlignment="0" applyProtection="0"/>
    <xf numFmtId="0" fontId="38" fillId="0" borderId="56" applyNumberFormat="0" applyFill="0" applyAlignment="0" applyProtection="0"/>
    <xf numFmtId="0" fontId="39" fillId="73" borderId="61" applyNumberFormat="0" applyAlignment="0" applyProtection="0"/>
    <xf numFmtId="0" fontId="40" fillId="8" borderId="57" applyNumberFormat="0" applyAlignment="0" applyProtection="0"/>
    <xf numFmtId="0" fontId="41" fillId="0" borderId="66" applyNumberFormat="0" applyFill="0" applyAlignment="0" applyProtection="0"/>
    <xf numFmtId="0" fontId="42" fillId="0" borderId="63" applyNumberFormat="0" applyFill="0" applyAlignment="0" applyProtection="0"/>
    <xf numFmtId="0" fontId="43" fillId="0" borderId="51" applyNumberFormat="0" applyFill="0" applyAlignment="0" applyProtection="0"/>
    <xf numFmtId="0" fontId="44" fillId="0" borderId="64" applyNumberFormat="0" applyFill="0" applyAlignment="0" applyProtection="0"/>
    <xf numFmtId="0" fontId="45" fillId="0" borderId="52" applyNumberFormat="0" applyFill="0" applyAlignment="0" applyProtection="0"/>
    <xf numFmtId="0" fontId="46" fillId="0" borderId="65" applyNumberFormat="0" applyFill="0" applyAlignment="0" applyProtection="0"/>
    <xf numFmtId="0" fontId="47" fillId="0" borderId="53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74" borderId="0" applyNumberFormat="0" applyAlignment="0" applyProtection="0"/>
    <xf numFmtId="0" fontId="49" fillId="75" borderId="0" applyNumberFormat="0" applyBorder="0" applyAlignment="0" applyProtection="0"/>
    <xf numFmtId="0" fontId="50" fillId="5" borderId="0" applyNumberFormat="0" applyBorder="0" applyAlignment="0" applyProtection="0"/>
    <xf numFmtId="0" fontId="51" fillId="0" borderId="0" applyNumberFormat="0" applyFont="0" applyFill="0" applyBorder="0" applyAlignment="0" applyProtection="0"/>
    <xf numFmtId="0" fontId="13" fillId="0" borderId="0"/>
    <xf numFmtId="0" fontId="14" fillId="0" borderId="0"/>
    <xf numFmtId="0" fontId="52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52" fillId="0" borderId="0"/>
    <xf numFmtId="0" fontId="52" fillId="0" borderId="0"/>
    <xf numFmtId="0" fontId="53" fillId="76" borderId="67" applyNumberFormat="0" applyFont="0" applyAlignment="0" applyProtection="0"/>
    <xf numFmtId="0" fontId="54" fillId="72" borderId="60" applyNumberFormat="0" applyAlignment="0" applyProtection="0"/>
    <xf numFmtId="0" fontId="55" fillId="7" borderId="54" applyNumberFormat="0" applyAlignment="0" applyProtection="0"/>
    <xf numFmtId="0" fontId="51" fillId="0" borderId="68" applyNumberFormat="0" applyFont="0" applyFill="0" applyBorder="0" applyProtection="0">
      <alignment vertical="top" wrapText="1"/>
    </xf>
    <xf numFmtId="0" fontId="56" fillId="70" borderId="62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4" fillId="0" borderId="0"/>
    <xf numFmtId="0" fontId="57" fillId="0" borderId="69" applyNumberFormat="0" applyFill="0" applyAlignment="0" applyProtection="0"/>
    <xf numFmtId="0" fontId="58" fillId="0" borderId="59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Alignment="0" applyProtection="0"/>
    <xf numFmtId="0" fontId="64" fillId="0" borderId="69" applyNumberFormat="0" applyFill="0" applyAlignment="0" applyProtection="0"/>
    <xf numFmtId="0" fontId="6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7" fillId="77" borderId="67" applyNumberFormat="0" applyFont="0" applyAlignment="0" applyProtection="0"/>
    <xf numFmtId="0" fontId="12" fillId="9" borderId="58" applyNumberFormat="0" applyFont="0" applyAlignment="0" applyProtection="0"/>
    <xf numFmtId="0" fontId="66" fillId="0" borderId="0" applyNumberFormat="0" applyFill="0" applyAlignment="0" applyProtection="0"/>
    <xf numFmtId="0" fontId="67" fillId="41" borderId="0" applyNumberFormat="0" applyBorder="0" applyAlignment="0" applyProtection="0"/>
    <xf numFmtId="0" fontId="68" fillId="4" borderId="0" applyNumberFormat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0" fontId="81" fillId="0" borderId="0"/>
    <xf numFmtId="0" fontId="13" fillId="0" borderId="0"/>
  </cellStyleXfs>
  <cellXfs count="606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center"/>
    </xf>
    <xf numFmtId="165" fontId="2" fillId="0" borderId="0" xfId="0" applyNumberFormat="1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right" vertical="center"/>
    </xf>
    <xf numFmtId="1" fontId="2" fillId="0" borderId="6" xfId="0" quotePrefix="1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4" fontId="2" fillId="0" borderId="17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8" fillId="0" borderId="0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29" xfId="0" quotePrefix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" fontId="2" fillId="0" borderId="30" xfId="0" applyNumberFormat="1" applyFont="1" applyBorder="1" applyAlignment="1">
      <alignment horizontal="center" vertical="center" wrapText="1"/>
    </xf>
    <xf numFmtId="1" fontId="2" fillId="0" borderId="32" xfId="0" quotePrefix="1" applyNumberFormat="1" applyFont="1" applyBorder="1" applyAlignment="1">
      <alignment horizontal="center" vertical="center" wrapText="1"/>
    </xf>
    <xf numFmtId="0" fontId="2" fillId="0" borderId="36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 wrapText="1"/>
    </xf>
    <xf numFmtId="165" fontId="1" fillId="0" borderId="38" xfId="0" applyNumberFormat="1" applyFont="1" applyBorder="1" applyAlignment="1">
      <alignment horizontal="center" vertical="center"/>
    </xf>
    <xf numFmtId="165" fontId="2" fillId="0" borderId="24" xfId="0" applyNumberFormat="1" applyFont="1" applyFill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49" fontId="5" fillId="0" borderId="37" xfId="0" applyNumberFormat="1" applyFont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1" fontId="2" fillId="0" borderId="27" xfId="0" applyNumberFormat="1" applyFont="1" applyBorder="1" applyAlignment="1">
      <alignment horizontal="center" vertical="center" wrapText="1"/>
    </xf>
    <xf numFmtId="165" fontId="1" fillId="0" borderId="42" xfId="0" applyNumberFormat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165" fontId="1" fillId="0" borderId="26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/>
    </xf>
    <xf numFmtId="4" fontId="1" fillId="0" borderId="31" xfId="0" applyNumberFormat="1" applyFont="1" applyBorder="1" applyAlignment="1">
      <alignment horizontal="center" vertical="center" wrapText="1"/>
    </xf>
    <xf numFmtId="0" fontId="2" fillId="2" borderId="39" xfId="0" quotePrefix="1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/>
    </xf>
    <xf numFmtId="165" fontId="2" fillId="2" borderId="40" xfId="0" applyNumberFormat="1" applyFont="1" applyFill="1" applyBorder="1" applyAlignment="1">
      <alignment horizontal="center" vertical="center"/>
    </xf>
    <xf numFmtId="4" fontId="2" fillId="2" borderId="40" xfId="0" applyNumberFormat="1" applyFont="1" applyFill="1" applyBorder="1" applyAlignment="1">
      <alignment horizontal="center" vertical="center"/>
    </xf>
    <xf numFmtId="4" fontId="2" fillId="2" borderId="41" xfId="0" applyNumberFormat="1" applyFont="1" applyFill="1" applyBorder="1" applyAlignment="1">
      <alignment horizontal="center" vertical="center"/>
    </xf>
    <xf numFmtId="0" fontId="2" fillId="0" borderId="6" xfId="0" quotePrefix="1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0" fontId="2" fillId="0" borderId="46" xfId="0" quotePrefix="1" applyNumberFormat="1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49" fontId="1" fillId="0" borderId="47" xfId="0" applyNumberFormat="1" applyFont="1" applyBorder="1" applyAlignment="1">
      <alignment horizontal="left" vertical="center" wrapText="1"/>
    </xf>
    <xf numFmtId="165" fontId="2" fillId="0" borderId="47" xfId="0" applyNumberFormat="1" applyFont="1" applyFill="1" applyBorder="1" applyAlignment="1">
      <alignment horizontal="center" vertical="center" wrapText="1"/>
    </xf>
    <xf numFmtId="0" fontId="2" fillId="0" borderId="43" xfId="0" quotePrefix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/>
    </xf>
    <xf numFmtId="165" fontId="2" fillId="0" borderId="26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 wrapText="1"/>
    </xf>
    <xf numFmtId="0" fontId="2" fillId="0" borderId="46" xfId="0" quotePrefix="1" applyFont="1" applyBorder="1" applyAlignment="1">
      <alignment horizontal="center" vertical="center" wrapText="1"/>
    </xf>
    <xf numFmtId="0" fontId="1" fillId="0" borderId="47" xfId="0" applyFont="1" applyBorder="1" applyAlignment="1">
      <alignment horizontal="left" vertical="center" wrapText="1"/>
    </xf>
    <xf numFmtId="165" fontId="2" fillId="0" borderId="47" xfId="0" applyNumberFormat="1" applyFont="1" applyFill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center" vertical="center"/>
    </xf>
    <xf numFmtId="165" fontId="2" fillId="0" borderId="25" xfId="0" applyNumberFormat="1" applyFont="1" applyFill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vertical="center" wrapText="1"/>
    </xf>
    <xf numFmtId="165" fontId="2" fillId="0" borderId="2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vertical="center" wrapText="1"/>
    </xf>
    <xf numFmtId="165" fontId="2" fillId="0" borderId="7" xfId="0" applyNumberFormat="1" applyFont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0" fontId="2" fillId="0" borderId="46" xfId="0" applyNumberFormat="1" applyFont="1" applyBorder="1" applyAlignment="1">
      <alignment horizontal="center" vertical="center"/>
    </xf>
    <xf numFmtId="165" fontId="1" fillId="0" borderId="47" xfId="0" applyNumberFormat="1" applyFont="1" applyBorder="1" applyAlignment="1">
      <alignment horizontal="center" vertical="center"/>
    </xf>
    <xf numFmtId="165" fontId="1" fillId="0" borderId="47" xfId="0" applyNumberFormat="1" applyFont="1" applyFill="1" applyBorder="1" applyAlignment="1">
      <alignment horizontal="center" vertical="center"/>
    </xf>
    <xf numFmtId="0" fontId="2" fillId="0" borderId="43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left" vertical="center" wrapText="1"/>
    </xf>
    <xf numFmtId="165" fontId="1" fillId="0" borderId="26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/>
    </xf>
    <xf numFmtId="49" fontId="1" fillId="0" borderId="47" xfId="0" applyNumberFormat="1" applyFont="1" applyBorder="1" applyAlignment="1">
      <alignment horizontal="center" vertical="center" wrapText="1"/>
    </xf>
    <xf numFmtId="4" fontId="2" fillId="0" borderId="47" xfId="0" applyNumberFormat="1" applyFont="1" applyBorder="1" applyAlignment="1">
      <alignment horizontal="right" vertical="center"/>
    </xf>
    <xf numFmtId="4" fontId="2" fillId="0" borderId="50" xfId="0" applyNumberFormat="1" applyFont="1" applyBorder="1" applyAlignment="1">
      <alignment horizontal="right" vertical="center"/>
    </xf>
    <xf numFmtId="4" fontId="2" fillId="0" borderId="49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1" fontId="1" fillId="0" borderId="33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1" fontId="2" fillId="0" borderId="9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/>
    </xf>
    <xf numFmtId="4" fontId="2" fillId="0" borderId="71" xfId="0" applyNumberFormat="1" applyFont="1" applyBorder="1" applyAlignment="1">
      <alignment horizontal="right" vertical="center"/>
    </xf>
    <xf numFmtId="4" fontId="2" fillId="0" borderId="72" xfId="0" applyNumberFormat="1" applyFont="1" applyBorder="1" applyAlignment="1">
      <alignment horizontal="right" vertical="center"/>
    </xf>
    <xf numFmtId="4" fontId="5" fillId="0" borderId="15" xfId="0" applyNumberFormat="1" applyFont="1" applyBorder="1" applyAlignment="1">
      <alignment horizontal="right" vertical="center"/>
    </xf>
    <xf numFmtId="4" fontId="5" fillId="0" borderId="17" xfId="0" applyNumberFormat="1" applyFont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74" xfId="0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top"/>
    </xf>
    <xf numFmtId="0" fontId="1" fillId="0" borderId="75" xfId="0" applyFont="1" applyBorder="1" applyAlignment="1">
      <alignment vertical="top"/>
    </xf>
    <xf numFmtId="0" fontId="1" fillId="0" borderId="75" xfId="0" applyFont="1" applyBorder="1" applyAlignment="1"/>
    <xf numFmtId="0" fontId="1" fillId="0" borderId="0" xfId="0" applyFont="1" applyBorder="1" applyAlignment="1">
      <alignment horizontal="center"/>
    </xf>
    <xf numFmtId="0" fontId="1" fillId="0" borderId="75" xfId="0" applyFont="1" applyBorder="1" applyAlignment="1">
      <alignment horizontal="center"/>
    </xf>
    <xf numFmtId="4" fontId="1" fillId="0" borderId="74" xfId="0" applyNumberFormat="1" applyFont="1" applyBorder="1" applyAlignment="1"/>
    <xf numFmtId="0" fontId="8" fillId="0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Border="1" applyAlignment="1"/>
    <xf numFmtId="4" fontId="1" fillId="0" borderId="24" xfId="0" applyNumberFormat="1" applyFont="1" applyBorder="1" applyAlignment="1">
      <alignment horizontal="center" vertical="center"/>
    </xf>
    <xf numFmtId="165" fontId="1" fillId="0" borderId="24" xfId="0" applyNumberFormat="1" applyFont="1" applyFill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4" fontId="1" fillId="2" borderId="41" xfId="0" applyNumberFormat="1" applyFont="1" applyFill="1" applyBorder="1" applyAlignment="1">
      <alignment horizontal="center"/>
    </xf>
    <xf numFmtId="4" fontId="1" fillId="2" borderId="40" xfId="0" applyNumberFormat="1" applyFont="1" applyFill="1" applyBorder="1" applyAlignment="1">
      <alignment horizontal="center"/>
    </xf>
    <xf numFmtId="165" fontId="1" fillId="2" borderId="40" xfId="0" applyNumberFormat="1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 vertical="top"/>
    </xf>
    <xf numFmtId="0" fontId="1" fillId="2" borderId="39" xfId="0" quotePrefix="1" applyFont="1" applyFill="1" applyBorder="1" applyAlignment="1">
      <alignment horizontal="center" vertical="top" wrapText="1"/>
    </xf>
    <xf numFmtId="0" fontId="1" fillId="0" borderId="46" xfId="0" applyNumberFormat="1" applyFont="1" applyBorder="1" applyAlignment="1">
      <alignment horizontal="center" vertical="center"/>
    </xf>
    <xf numFmtId="0" fontId="1" fillId="0" borderId="43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165" fontId="1" fillId="0" borderId="26" xfId="0" applyNumberFormat="1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49" fontId="8" fillId="0" borderId="24" xfId="0" applyNumberFormat="1" applyFont="1" applyBorder="1" applyAlignment="1">
      <alignment vertical="center" wrapText="1"/>
    </xf>
    <xf numFmtId="165" fontId="8" fillId="0" borderId="24" xfId="0" applyNumberFormat="1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right" vertical="center"/>
    </xf>
    <xf numFmtId="4" fontId="1" fillId="0" borderId="44" xfId="0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45" xfId="0" applyNumberFormat="1" applyFont="1" applyFill="1" applyBorder="1" applyAlignment="1">
      <alignment horizontal="right" vertical="center"/>
    </xf>
    <xf numFmtId="4" fontId="1" fillId="0" borderId="47" xfId="0" applyNumberFormat="1" applyFont="1" applyBorder="1" applyAlignment="1">
      <alignment horizontal="right" vertical="center"/>
    </xf>
    <xf numFmtId="4" fontId="1" fillId="0" borderId="48" xfId="0" applyNumberFormat="1" applyFont="1" applyFill="1" applyBorder="1" applyAlignment="1">
      <alignment horizontal="right" vertical="center"/>
    </xf>
    <xf numFmtId="4" fontId="1" fillId="0" borderId="44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Border="1" applyAlignment="1">
      <alignment horizontal="right" vertical="center"/>
    </xf>
    <xf numFmtId="4" fontId="2" fillId="0" borderId="44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5" fillId="0" borderId="21" xfId="0" applyNumberFormat="1" applyFont="1" applyFill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0" fontId="9" fillId="0" borderId="43" xfId="4" applyFont="1" applyBorder="1" applyAlignment="1">
      <alignment horizontal="center" vertical="center"/>
    </xf>
    <xf numFmtId="0" fontId="9" fillId="0" borderId="26" xfId="4" applyFont="1" applyBorder="1" applyAlignment="1">
      <alignment horizontal="center" vertical="center" wrapText="1"/>
    </xf>
    <xf numFmtId="0" fontId="9" fillId="0" borderId="26" xfId="4" applyFont="1" applyBorder="1" applyAlignment="1">
      <alignment vertical="center" wrapText="1"/>
    </xf>
    <xf numFmtId="2" fontId="1" fillId="0" borderId="26" xfId="4" applyNumberFormat="1" applyFont="1" applyBorder="1" applyAlignment="1">
      <alignment horizontal="center" vertical="center"/>
    </xf>
    <xf numFmtId="2" fontId="9" fillId="0" borderId="26" xfId="4" applyNumberFormat="1" applyFont="1" applyBorder="1" applyAlignment="1">
      <alignment horizontal="center" vertical="center"/>
    </xf>
    <xf numFmtId="4" fontId="9" fillId="0" borderId="26" xfId="4" applyNumberFormat="1" applyFont="1" applyBorder="1" applyAlignment="1">
      <alignment horizontal="right" vertical="center"/>
    </xf>
    <xf numFmtId="4" fontId="1" fillId="0" borderId="44" xfId="3" applyNumberFormat="1" applyBorder="1" applyAlignment="1">
      <alignment horizontal="right" vertical="center"/>
    </xf>
    <xf numFmtId="0" fontId="9" fillId="0" borderId="6" xfId="4" applyFont="1" applyBorder="1" applyAlignment="1">
      <alignment horizontal="center" vertical="center"/>
    </xf>
    <xf numFmtId="0" fontId="9" fillId="0" borderId="7" xfId="4" applyFont="1" applyBorder="1" applyAlignment="1">
      <alignment horizontal="center" vertical="center" wrapText="1"/>
    </xf>
    <xf numFmtId="0" fontId="9" fillId="0" borderId="7" xfId="4" applyFont="1" applyBorder="1" applyAlignment="1">
      <alignment horizontal="left" vertical="center" wrapText="1"/>
    </xf>
    <xf numFmtId="2" fontId="1" fillId="0" borderId="7" xfId="4" applyNumberFormat="1" applyFont="1" applyBorder="1" applyAlignment="1">
      <alignment horizontal="center" vertical="center"/>
    </xf>
    <xf numFmtId="2" fontId="9" fillId="0" borderId="7" xfId="4" applyNumberFormat="1" applyFont="1" applyBorder="1" applyAlignment="1">
      <alignment horizontal="center" vertical="center"/>
    </xf>
    <xf numFmtId="4" fontId="9" fillId="0" borderId="7" xfId="4" applyNumberFormat="1" applyFont="1" applyBorder="1" applyAlignment="1">
      <alignment horizontal="right" vertical="center"/>
    </xf>
    <xf numFmtId="4" fontId="1" fillId="0" borderId="45" xfId="3" applyNumberFormat="1" applyBorder="1" applyAlignment="1">
      <alignment horizontal="right" vertical="center"/>
    </xf>
    <xf numFmtId="0" fontId="9" fillId="0" borderId="7" xfId="4" applyFont="1" applyBorder="1" applyAlignment="1">
      <alignment vertical="center" wrapText="1"/>
    </xf>
    <xf numFmtId="0" fontId="1" fillId="0" borderId="3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9" fillId="0" borderId="77" xfId="4" applyFont="1" applyBorder="1" applyAlignment="1">
      <alignment horizontal="center" vertical="center"/>
    </xf>
    <xf numFmtId="0" fontId="9" fillId="0" borderId="78" xfId="4" applyFont="1" applyBorder="1" applyAlignment="1">
      <alignment horizontal="center" vertical="center" wrapText="1"/>
    </xf>
    <xf numFmtId="0" fontId="9" fillId="0" borderId="78" xfId="4" applyFont="1" applyBorder="1" applyAlignment="1">
      <alignment horizontal="left" vertical="center" wrapText="1"/>
    </xf>
    <xf numFmtId="2" fontId="1" fillId="0" borderId="78" xfId="4" applyNumberFormat="1" applyFont="1" applyBorder="1" applyAlignment="1">
      <alignment horizontal="center" vertical="center"/>
    </xf>
    <xf numFmtId="2" fontId="9" fillId="0" borderId="78" xfId="4" applyNumberFormat="1" applyFont="1" applyBorder="1" applyAlignment="1">
      <alignment horizontal="center" vertical="center"/>
    </xf>
    <xf numFmtId="4" fontId="9" fillId="0" borderId="78" xfId="4" applyNumberFormat="1" applyFont="1" applyBorder="1" applyAlignment="1">
      <alignment horizontal="right" vertical="center"/>
    </xf>
    <xf numFmtId="4" fontId="1" fillId="0" borderId="79" xfId="3" applyNumberFormat="1" applyBorder="1" applyAlignment="1">
      <alignment horizontal="right" vertical="center"/>
    </xf>
    <xf numFmtId="0" fontId="9" fillId="0" borderId="80" xfId="4" applyFont="1" applyBorder="1" applyAlignment="1">
      <alignment horizontal="center" vertical="center"/>
    </xf>
    <xf numFmtId="0" fontId="9" fillId="0" borderId="81" xfId="4" applyFont="1" applyBorder="1" applyAlignment="1">
      <alignment horizontal="center" vertical="center"/>
    </xf>
    <xf numFmtId="0" fontId="9" fillId="0" borderId="81" xfId="4" applyFont="1" applyBorder="1" applyAlignment="1">
      <alignment horizontal="center" vertical="center" wrapText="1"/>
    </xf>
    <xf numFmtId="0" fontId="9" fillId="0" borderId="81" xfId="4" applyFont="1" applyBorder="1" applyAlignment="1">
      <alignment horizontal="left" vertical="center" wrapText="1"/>
    </xf>
    <xf numFmtId="2" fontId="1" fillId="0" borderId="81" xfId="4" applyNumberFormat="1" applyFont="1" applyBorder="1" applyAlignment="1">
      <alignment horizontal="center" vertical="center"/>
    </xf>
    <xf numFmtId="2" fontId="9" fillId="0" borderId="81" xfId="4" applyNumberFormat="1" applyFont="1" applyBorder="1" applyAlignment="1">
      <alignment horizontal="center" vertical="center"/>
    </xf>
    <xf numFmtId="4" fontId="9" fillId="0" borderId="81" xfId="4" applyNumberFormat="1" applyFont="1" applyBorder="1" applyAlignment="1">
      <alignment horizontal="right" vertical="center"/>
    </xf>
    <xf numFmtId="4" fontId="1" fillId="0" borderId="82" xfId="3" applyNumberFormat="1" applyBorder="1" applyAlignment="1">
      <alignment horizontal="right" vertical="center"/>
    </xf>
    <xf numFmtId="0" fontId="9" fillId="0" borderId="81" xfId="4" applyFont="1" applyBorder="1" applyAlignment="1">
      <alignment vertical="center" wrapText="1"/>
    </xf>
    <xf numFmtId="2" fontId="1" fillId="0" borderId="81" xfId="4" applyNumberFormat="1" applyFont="1" applyBorder="1" applyAlignment="1">
      <alignment horizontal="center" vertical="center" wrapText="1"/>
    </xf>
    <xf numFmtId="0" fontId="1" fillId="0" borderId="81" xfId="4" applyFont="1" applyBorder="1" applyAlignment="1">
      <alignment horizontal="left" vertical="center" wrapText="1"/>
    </xf>
    <xf numFmtId="0" fontId="9" fillId="0" borderId="83" xfId="4" applyFont="1" applyBorder="1" applyAlignment="1">
      <alignment horizontal="center" vertical="center"/>
    </xf>
    <xf numFmtId="0" fontId="9" fillId="0" borderId="84" xfId="4" applyFont="1" applyBorder="1" applyAlignment="1">
      <alignment horizontal="center" vertical="center"/>
    </xf>
    <xf numFmtId="0" fontId="9" fillId="0" borderId="84" xfId="4" applyFont="1" applyBorder="1" applyAlignment="1">
      <alignment horizontal="center" vertical="center" wrapText="1"/>
    </xf>
    <xf numFmtId="0" fontId="1" fillId="0" borderId="84" xfId="4" applyFont="1" applyBorder="1" applyAlignment="1">
      <alignment horizontal="left" vertical="center" wrapText="1"/>
    </xf>
    <xf numFmtId="4" fontId="9" fillId="0" borderId="84" xfId="4" applyNumberFormat="1" applyFont="1" applyBorder="1" applyAlignment="1">
      <alignment horizontal="right" vertical="center"/>
    </xf>
    <xf numFmtId="4" fontId="1" fillId="0" borderId="85" xfId="3" applyNumberFormat="1" applyBorder="1" applyAlignment="1">
      <alignment horizontal="right" vertical="center"/>
    </xf>
    <xf numFmtId="4" fontId="5" fillId="0" borderId="76" xfId="0" applyNumberFormat="1" applyFont="1" applyFill="1" applyBorder="1" applyAlignment="1">
      <alignment horizontal="right" vertical="center"/>
    </xf>
    <xf numFmtId="4" fontId="2" fillId="0" borderId="44" xfId="0" applyNumberFormat="1" applyFont="1" applyFill="1" applyBorder="1" applyAlignment="1">
      <alignment horizontal="right" vertical="center"/>
    </xf>
    <xf numFmtId="4" fontId="2" fillId="0" borderId="45" xfId="0" applyNumberFormat="1" applyFont="1" applyFill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34" xfId="0" applyNumberFormat="1" applyFont="1" applyFill="1" applyBorder="1" applyAlignment="1">
      <alignment horizontal="right" vertical="center"/>
    </xf>
    <xf numFmtId="4" fontId="2" fillId="0" borderId="26" xfId="0" applyNumberFormat="1" applyFont="1" applyFill="1" applyBorder="1" applyAlignment="1">
      <alignment horizontal="right" vertical="center"/>
    </xf>
    <xf numFmtId="4" fontId="1" fillId="0" borderId="45" xfId="0" applyNumberFormat="1" applyFont="1" applyFill="1" applyBorder="1" applyAlignment="1">
      <alignment horizontal="right" vertical="center" wrapText="1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 applyProtection="1">
      <alignment vertical="center"/>
    </xf>
    <xf numFmtId="4" fontId="2" fillId="0" borderId="0" xfId="0" applyNumberFormat="1" applyFont="1" applyAlignment="1"/>
    <xf numFmtId="0" fontId="71" fillId="0" borderId="73" xfId="0" applyNumberFormat="1" applyFont="1" applyFill="1" applyBorder="1" applyAlignment="1" applyProtection="1">
      <alignment horizontal="center" vertical="top"/>
    </xf>
    <xf numFmtId="165" fontId="1" fillId="0" borderId="87" xfId="0" applyNumberFormat="1" applyFont="1" applyBorder="1" applyAlignment="1">
      <alignment horizontal="center" vertical="center" wrapText="1"/>
    </xf>
    <xf numFmtId="1" fontId="2" fillId="0" borderId="76" xfId="0" applyNumberFormat="1" applyFont="1" applyBorder="1" applyAlignment="1">
      <alignment horizontal="center" vertical="center" wrapText="1"/>
    </xf>
    <xf numFmtId="165" fontId="2" fillId="2" borderId="41" xfId="0" applyNumberFormat="1" applyFont="1" applyFill="1" applyBorder="1" applyAlignment="1">
      <alignment horizontal="center" vertical="center"/>
    </xf>
    <xf numFmtId="165" fontId="1" fillId="0" borderId="44" xfId="0" applyNumberFormat="1" applyFont="1" applyFill="1" applyBorder="1" applyAlignment="1">
      <alignment horizontal="center" vertical="center" wrapText="1"/>
    </xf>
    <xf numFmtId="165" fontId="2" fillId="0" borderId="45" xfId="0" applyNumberFormat="1" applyFont="1" applyFill="1" applyBorder="1" applyAlignment="1">
      <alignment horizontal="center" vertical="center" wrapText="1"/>
    </xf>
    <xf numFmtId="165" fontId="2" fillId="0" borderId="48" xfId="0" applyNumberFormat="1" applyFont="1" applyFill="1" applyBorder="1" applyAlignment="1">
      <alignment horizontal="center" vertical="center" wrapText="1"/>
    </xf>
    <xf numFmtId="165" fontId="2" fillId="0" borderId="44" xfId="0" applyNumberFormat="1" applyFont="1" applyFill="1" applyBorder="1" applyAlignment="1">
      <alignment horizontal="center" vertical="center"/>
    </xf>
    <xf numFmtId="165" fontId="1" fillId="0" borderId="45" xfId="0" applyNumberFormat="1" applyFont="1" applyFill="1" applyBorder="1" applyAlignment="1">
      <alignment horizontal="center" vertical="center" wrapText="1"/>
    </xf>
    <xf numFmtId="165" fontId="2" fillId="0" borderId="48" xfId="0" applyNumberFormat="1" applyFont="1" applyFill="1" applyBorder="1" applyAlignment="1">
      <alignment horizontal="center" vertical="center"/>
    </xf>
    <xf numFmtId="165" fontId="2" fillId="0" borderId="44" xfId="0" applyNumberFormat="1" applyFont="1" applyFill="1" applyBorder="1" applyAlignment="1">
      <alignment horizontal="center" vertical="center" wrapText="1"/>
    </xf>
    <xf numFmtId="165" fontId="1" fillId="0" borderId="45" xfId="0" applyNumberFormat="1" applyFont="1" applyFill="1" applyBorder="1" applyAlignment="1">
      <alignment horizontal="center" vertical="center"/>
    </xf>
    <xf numFmtId="165" fontId="1" fillId="0" borderId="48" xfId="0" applyNumberFormat="1" applyFont="1" applyFill="1" applyBorder="1" applyAlignment="1">
      <alignment horizontal="center" vertical="center"/>
    </xf>
    <xf numFmtId="165" fontId="2" fillId="0" borderId="45" xfId="0" applyNumberFormat="1" applyFont="1" applyFill="1" applyBorder="1" applyAlignment="1">
      <alignment horizontal="center" vertical="center"/>
    </xf>
    <xf numFmtId="165" fontId="1" fillId="2" borderId="41" xfId="0" applyNumberFormat="1" applyFont="1" applyFill="1" applyBorder="1" applyAlignment="1">
      <alignment horizontal="center"/>
    </xf>
    <xf numFmtId="165" fontId="1" fillId="0" borderId="44" xfId="0" applyNumberFormat="1" applyFont="1" applyFill="1" applyBorder="1" applyAlignment="1">
      <alignment horizontal="center" vertical="center"/>
    </xf>
    <xf numFmtId="2" fontId="9" fillId="0" borderId="44" xfId="4" applyNumberFormat="1" applyFont="1" applyBorder="1" applyAlignment="1">
      <alignment horizontal="center" vertical="center"/>
    </xf>
    <xf numFmtId="2" fontId="9" fillId="0" borderId="45" xfId="4" applyNumberFormat="1" applyFont="1" applyBorder="1" applyAlignment="1">
      <alignment horizontal="center" vertical="center"/>
    </xf>
    <xf numFmtId="0" fontId="9" fillId="0" borderId="88" xfId="4" applyFont="1" applyBorder="1" applyAlignment="1">
      <alignment horizontal="center" vertical="center"/>
    </xf>
    <xf numFmtId="2" fontId="9" fillId="0" borderId="89" xfId="4" applyNumberFormat="1" applyFont="1" applyBorder="1" applyAlignment="1">
      <alignment horizontal="center" vertical="center"/>
    </xf>
    <xf numFmtId="0" fontId="9" fillId="0" borderId="90" xfId="4" applyFont="1" applyBorder="1" applyAlignment="1">
      <alignment horizontal="center" vertical="center"/>
    </xf>
    <xf numFmtId="2" fontId="9" fillId="0" borderId="91" xfId="4" applyNumberFormat="1" applyFont="1" applyBorder="1" applyAlignment="1">
      <alignment horizontal="center" vertical="center"/>
    </xf>
    <xf numFmtId="0" fontId="9" fillId="0" borderId="91" xfId="4" applyFont="1" applyBorder="1" applyAlignment="1">
      <alignment horizontal="center" vertical="center"/>
    </xf>
    <xf numFmtId="0" fontId="9" fillId="0" borderId="92" xfId="4" applyFont="1" applyBorder="1" applyAlignment="1">
      <alignment horizontal="center" vertical="center"/>
    </xf>
    <xf numFmtId="0" fontId="9" fillId="0" borderId="93" xfId="4" applyFont="1" applyBorder="1" applyAlignment="1">
      <alignment horizontal="center" vertical="center"/>
    </xf>
    <xf numFmtId="0" fontId="2" fillId="0" borderId="94" xfId="0" applyNumberFormat="1" applyFont="1" applyBorder="1" applyAlignment="1">
      <alignment horizontal="center" vertical="center"/>
    </xf>
    <xf numFmtId="0" fontId="1" fillId="0" borderId="95" xfId="0" applyFont="1" applyBorder="1" applyAlignment="1">
      <alignment horizontal="center" vertical="center" wrapText="1"/>
    </xf>
    <xf numFmtId="49" fontId="1" fillId="0" borderId="95" xfId="0" applyNumberFormat="1" applyFont="1" applyBorder="1" applyAlignment="1">
      <alignment horizontal="left" vertical="center" wrapText="1"/>
    </xf>
    <xf numFmtId="165" fontId="1" fillId="0" borderId="95" xfId="0" applyNumberFormat="1" applyFont="1" applyBorder="1" applyAlignment="1">
      <alignment horizontal="center" vertical="center"/>
    </xf>
    <xf numFmtId="165" fontId="2" fillId="0" borderId="96" xfId="0" applyNumberFormat="1" applyFont="1" applyFill="1" applyBorder="1" applyAlignment="1">
      <alignment horizontal="center" vertical="center"/>
    </xf>
    <xf numFmtId="0" fontId="1" fillId="0" borderId="43" xfId="0" quotePrefix="1" applyNumberFormat="1" applyFont="1" applyBorder="1" applyAlignment="1">
      <alignment horizontal="center" vertical="center" wrapText="1"/>
    </xf>
    <xf numFmtId="165" fontId="1" fillId="0" borderId="97" xfId="0" applyNumberFormat="1" applyFont="1" applyFill="1" applyBorder="1" applyAlignment="1">
      <alignment horizontal="center" vertical="center" wrapText="1"/>
    </xf>
    <xf numFmtId="4" fontId="1" fillId="0" borderId="98" xfId="0" applyNumberFormat="1" applyFont="1" applyFill="1" applyBorder="1" applyAlignment="1">
      <alignment horizontal="right" vertical="center" wrapText="1"/>
    </xf>
    <xf numFmtId="0" fontId="1" fillId="0" borderId="46" xfId="0" quotePrefix="1" applyFont="1" applyBorder="1" applyAlignment="1">
      <alignment horizontal="center" vertical="center" wrapText="1"/>
    </xf>
    <xf numFmtId="165" fontId="1" fillId="0" borderId="99" xfId="0" applyNumberFormat="1" applyFont="1" applyFill="1" applyBorder="1" applyAlignment="1">
      <alignment horizontal="center" vertical="center"/>
    </xf>
    <xf numFmtId="4" fontId="1" fillId="0" borderId="100" xfId="0" applyNumberFormat="1" applyFont="1" applyFill="1" applyBorder="1" applyAlignment="1">
      <alignment horizontal="right" vertical="center"/>
    </xf>
    <xf numFmtId="49" fontId="5" fillId="0" borderId="37" xfId="222" applyNumberFormat="1" applyFont="1" applyBorder="1" applyAlignment="1">
      <alignment horizontal="left" vertical="center" wrapText="1"/>
    </xf>
    <xf numFmtId="0" fontId="5" fillId="2" borderId="40" xfId="222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02" xfId="0" applyNumberFormat="1" applyFont="1" applyFill="1" applyBorder="1" applyAlignment="1">
      <alignment horizontal="right" vertical="center"/>
    </xf>
    <xf numFmtId="0" fontId="1" fillId="0" borderId="9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/>
    </xf>
    <xf numFmtId="0" fontId="2" fillId="0" borderId="9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 applyProtection="1">
      <alignment vertical="top"/>
    </xf>
    <xf numFmtId="0" fontId="2" fillId="0" borderId="103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49" fontId="72" fillId="0" borderId="101" xfId="0" applyNumberFormat="1" applyFont="1" applyBorder="1" applyAlignment="1">
      <alignment horizontal="center" vertical="center" wrapText="1"/>
    </xf>
    <xf numFmtId="4" fontId="72" fillId="0" borderId="101" xfId="0" applyNumberFormat="1" applyFont="1" applyBorder="1" applyAlignment="1">
      <alignment horizontal="right" vertical="center"/>
    </xf>
    <xf numFmtId="4" fontId="72" fillId="0" borderId="18" xfId="0" applyNumberFormat="1" applyFont="1" applyBorder="1" applyAlignment="1">
      <alignment horizontal="right" vertical="center"/>
    </xf>
    <xf numFmtId="0" fontId="2" fillId="0" borderId="3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9" fontId="72" fillId="0" borderId="24" xfId="0" applyNumberFormat="1" applyFont="1" applyBorder="1" applyAlignment="1">
      <alignment horizontal="center" vertical="center" wrapText="1"/>
    </xf>
    <xf numFmtId="4" fontId="72" fillId="0" borderId="24" xfId="0" applyNumberFormat="1" applyFont="1" applyBorder="1" applyAlignment="1">
      <alignment horizontal="right" vertical="center"/>
    </xf>
    <xf numFmtId="4" fontId="74" fillId="0" borderId="4" xfId="0" applyNumberFormat="1" applyFont="1" applyBorder="1" applyAlignment="1">
      <alignment horizontal="right" vertical="center"/>
    </xf>
    <xf numFmtId="4" fontId="74" fillId="0" borderId="14" xfId="0" applyNumberFormat="1" applyFont="1" applyBorder="1" applyAlignment="1">
      <alignment horizontal="right" vertical="center"/>
    </xf>
    <xf numFmtId="4" fontId="75" fillId="0" borderId="20" xfId="0" applyNumberFormat="1" applyFont="1" applyBorder="1" applyAlignment="1">
      <alignment horizontal="right" vertical="center"/>
    </xf>
    <xf numFmtId="165" fontId="1" fillId="0" borderId="10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0" xfId="0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right" vertical="center"/>
    </xf>
    <xf numFmtId="0" fontId="1" fillId="0" borderId="7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73" fillId="2" borderId="21" xfId="0" applyFont="1" applyFill="1" applyBorder="1" applyAlignment="1">
      <alignment vertical="center"/>
    </xf>
    <xf numFmtId="4" fontId="1" fillId="0" borderId="16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1" fontId="1" fillId="0" borderId="6" xfId="0" quotePrefix="1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vertical="center" wrapText="1"/>
    </xf>
    <xf numFmtId="4" fontId="1" fillId="0" borderId="40" xfId="0" applyNumberFormat="1" applyFont="1" applyBorder="1" applyAlignment="1">
      <alignment horizontal="center" vertical="center"/>
    </xf>
    <xf numFmtId="4" fontId="1" fillId="2" borderId="109" xfId="0" applyNumberFormat="1" applyFont="1" applyFill="1" applyBorder="1" applyAlignment="1">
      <alignment horizontal="center" vertical="center"/>
    </xf>
    <xf numFmtId="4" fontId="1" fillId="0" borderId="117" xfId="0" applyNumberFormat="1" applyFont="1" applyFill="1" applyBorder="1" applyAlignment="1">
      <alignment horizontal="right" vertical="center" wrapText="1"/>
    </xf>
    <xf numFmtId="4" fontId="1" fillId="0" borderId="81" xfId="0" applyNumberFormat="1" applyFont="1" applyFill="1" applyBorder="1" applyAlignment="1">
      <alignment horizontal="right" vertical="center"/>
    </xf>
    <xf numFmtId="4" fontId="1" fillId="0" borderId="81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26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 wrapText="1"/>
    </xf>
    <xf numFmtId="0" fontId="1" fillId="0" borderId="113" xfId="0" quotePrefix="1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165" fontId="1" fillId="0" borderId="26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4" fontId="1" fillId="0" borderId="115" xfId="0" applyNumberFormat="1" applyFont="1" applyBorder="1" applyAlignment="1">
      <alignment horizontal="center" vertical="center" wrapText="1"/>
    </xf>
    <xf numFmtId="1" fontId="1" fillId="0" borderId="111" xfId="0" quotePrefix="1" applyNumberFormat="1" applyFont="1" applyBorder="1" applyAlignment="1">
      <alignment horizontal="center" vertical="center" wrapText="1"/>
    </xf>
    <xf numFmtId="1" fontId="1" fillId="0" borderId="5" xfId="0" quotePrefix="1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114" xfId="0" applyNumberFormat="1" applyFont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/>
    </xf>
    <xf numFmtId="0" fontId="1" fillId="2" borderId="110" xfId="0" quotePrefix="1" applyFont="1" applyFill="1" applyBorder="1" applyAlignment="1">
      <alignment horizontal="center" vertical="center" wrapText="1"/>
    </xf>
    <xf numFmtId="0" fontId="1" fillId="2" borderId="109" xfId="0" quotePrefix="1" applyFont="1" applyFill="1" applyBorder="1" applyAlignment="1">
      <alignment horizontal="center" vertical="center" wrapText="1"/>
    </xf>
    <xf numFmtId="0" fontId="5" fillId="2" borderId="109" xfId="0" applyFont="1" applyFill="1" applyBorder="1" applyAlignment="1">
      <alignment horizontal="left" vertical="center" wrapText="1"/>
    </xf>
    <xf numFmtId="0" fontId="1" fillId="2" borderId="109" xfId="0" applyFont="1" applyFill="1" applyBorder="1" applyAlignment="1">
      <alignment horizontal="center" vertical="center"/>
    </xf>
    <xf numFmtId="165" fontId="1" fillId="2" borderId="109" xfId="0" applyNumberFormat="1" applyFont="1" applyFill="1" applyBorder="1" applyAlignment="1">
      <alignment horizontal="center" vertical="center"/>
    </xf>
    <xf numFmtId="4" fontId="1" fillId="2" borderId="108" xfId="0" applyNumberFormat="1" applyFont="1" applyFill="1" applyBorder="1" applyAlignment="1">
      <alignment horizontal="center" vertical="center"/>
    </xf>
    <xf numFmtId="0" fontId="1" fillId="0" borderId="118" xfId="0" applyFont="1" applyFill="1" applyBorder="1" applyAlignment="1">
      <alignment horizontal="center" vertical="center" wrapText="1"/>
    </xf>
    <xf numFmtId="0" fontId="1" fillId="0" borderId="117" xfId="0" applyFont="1" applyFill="1" applyBorder="1" applyAlignment="1">
      <alignment horizontal="center" vertical="center" wrapText="1"/>
    </xf>
    <xf numFmtId="0" fontId="1" fillId="0" borderId="117" xfId="0" applyFont="1" applyFill="1" applyBorder="1" applyAlignment="1">
      <alignment vertical="center" wrapText="1"/>
    </xf>
    <xf numFmtId="4" fontId="1" fillId="0" borderId="120" xfId="0" applyNumberFormat="1" applyFont="1" applyFill="1" applyBorder="1" applyAlignment="1">
      <alignment horizontal="right" vertical="center" wrapText="1"/>
    </xf>
    <xf numFmtId="0" fontId="1" fillId="0" borderId="119" xfId="0" applyFont="1" applyFill="1" applyBorder="1" applyAlignment="1">
      <alignment horizontal="center" vertical="center" wrapText="1"/>
    </xf>
    <xf numFmtId="0" fontId="1" fillId="0" borderId="81" xfId="0" applyFont="1" applyFill="1" applyBorder="1" applyAlignment="1">
      <alignment horizontal="center" vertical="center" wrapText="1"/>
    </xf>
    <xf numFmtId="0" fontId="1" fillId="0" borderId="81" xfId="0" applyFont="1" applyFill="1" applyBorder="1" applyAlignment="1">
      <alignment vertical="center" wrapText="1"/>
    </xf>
    <xf numFmtId="3" fontId="1" fillId="0" borderId="81" xfId="0" applyNumberFormat="1" applyFont="1" applyFill="1" applyBorder="1" applyAlignment="1">
      <alignment horizontal="center" vertical="center" wrapText="1"/>
    </xf>
    <xf numFmtId="4" fontId="1" fillId="0" borderId="107" xfId="0" applyNumberFormat="1" applyFont="1" applyFill="1" applyBorder="1" applyAlignment="1">
      <alignment horizontal="right" vertical="center" wrapText="1"/>
    </xf>
    <xf numFmtId="0" fontId="1" fillId="0" borderId="106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horizontal="left" vertical="center" wrapText="1"/>
    </xf>
    <xf numFmtId="165" fontId="1" fillId="0" borderId="40" xfId="0" applyNumberFormat="1" applyFont="1" applyBorder="1" applyAlignment="1">
      <alignment horizontal="center" vertical="center"/>
    </xf>
    <xf numFmtId="165" fontId="1" fillId="0" borderId="40" xfId="0" applyNumberFormat="1" applyFont="1" applyFill="1" applyBorder="1" applyAlignment="1">
      <alignment horizontal="center" vertical="center"/>
    </xf>
    <xf numFmtId="4" fontId="5" fillId="0" borderId="104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0" fontId="1" fillId="0" borderId="112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1" fontId="1" fillId="0" borderId="7" xfId="0" applyNumberFormat="1" applyFont="1" applyBorder="1" applyAlignment="1">
      <alignment horizontal="center" vertical="center"/>
    </xf>
    <xf numFmtId="2" fontId="1" fillId="0" borderId="0" xfId="197" applyNumberFormat="1" applyFont="1" applyAlignment="1">
      <alignment horizontal="right" vertical="top" shrinkToFit="1"/>
    </xf>
    <xf numFmtId="0" fontId="1" fillId="0" borderId="0" xfId="0" applyFont="1" applyBorder="1" applyAlignment="1">
      <alignment vertical="center"/>
    </xf>
    <xf numFmtId="2" fontId="1" fillId="0" borderId="0" xfId="196" applyNumberFormat="1" applyFont="1" applyAlignment="1">
      <alignment horizontal="right" vertical="top" shrinkToFit="1"/>
    </xf>
    <xf numFmtId="0" fontId="1" fillId="0" borderId="0" xfId="198" applyFont="1" applyAlignment="1">
      <alignment vertical="top" wrapText="1"/>
    </xf>
    <xf numFmtId="0" fontId="1" fillId="0" borderId="81" xfId="0" applyFont="1" applyFill="1" applyBorder="1" applyAlignment="1">
      <alignment horizontal="center" vertical="center"/>
    </xf>
    <xf numFmtId="4" fontId="1" fillId="0" borderId="107" xfId="0" applyNumberFormat="1" applyFont="1" applyFill="1" applyBorder="1" applyAlignment="1">
      <alignment horizontal="right" vertical="center"/>
    </xf>
    <xf numFmtId="4" fontId="1" fillId="0" borderId="115" xfId="0" applyNumberFormat="1" applyFont="1" applyFill="1" applyBorder="1" applyAlignment="1">
      <alignment horizontal="right" vertical="center" wrapText="1"/>
    </xf>
    <xf numFmtId="4" fontId="1" fillId="0" borderId="124" xfId="0" applyNumberFormat="1" applyFont="1" applyFill="1" applyBorder="1" applyAlignment="1">
      <alignment horizontal="right" vertical="center" wrapText="1"/>
    </xf>
    <xf numFmtId="0" fontId="1" fillId="2" borderId="106" xfId="0" quotePrefix="1" applyFont="1" applyFill="1" applyBorder="1" applyAlignment="1">
      <alignment horizontal="center" vertical="center" wrapText="1"/>
    </xf>
    <xf numFmtId="165" fontId="1" fillId="2" borderId="40" xfId="0" applyNumberFormat="1" applyFont="1" applyFill="1" applyBorder="1" applyAlignment="1">
      <alignment horizontal="center" vertical="center"/>
    </xf>
    <xf numFmtId="4" fontId="1" fillId="2" borderId="40" xfId="0" applyNumberFormat="1" applyFont="1" applyFill="1" applyBorder="1" applyAlignment="1">
      <alignment horizontal="center" vertical="center"/>
    </xf>
    <xf numFmtId="4" fontId="1" fillId="2" borderId="105" xfId="0" applyNumberFormat="1" applyFon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 wrapText="1"/>
    </xf>
    <xf numFmtId="3" fontId="1" fillId="0" borderId="117" xfId="0" applyNumberFormat="1" applyFont="1" applyFill="1" applyBorder="1" applyAlignment="1">
      <alignment horizontal="center" vertical="center" wrapText="1"/>
    </xf>
    <xf numFmtId="3" fontId="1" fillId="0" borderId="8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6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7" xfId="4" applyFont="1" applyBorder="1" applyAlignment="1">
      <alignment horizontal="center" vertical="center"/>
    </xf>
    <xf numFmtId="4" fontId="5" fillId="0" borderId="125" xfId="0" applyNumberFormat="1" applyFont="1" applyFill="1" applyBorder="1" applyAlignment="1">
      <alignment horizontal="right" vertical="center"/>
    </xf>
    <xf numFmtId="4" fontId="1" fillId="0" borderId="122" xfId="0" applyNumberFormat="1" applyFont="1" applyBorder="1" applyAlignment="1">
      <alignment horizontal="center" vertical="center"/>
    </xf>
    <xf numFmtId="165" fontId="1" fillId="0" borderId="122" xfId="0" applyNumberFormat="1" applyFont="1" applyFill="1" applyBorder="1" applyAlignment="1">
      <alignment horizontal="center" vertical="center"/>
    </xf>
    <xf numFmtId="165" fontId="1" fillId="0" borderId="122" xfId="0" applyNumberFormat="1" applyFont="1" applyBorder="1" applyAlignment="1">
      <alignment horizontal="center" vertical="center"/>
    </xf>
    <xf numFmtId="49" fontId="5" fillId="0" borderId="122" xfId="0" applyNumberFormat="1" applyFont="1" applyBorder="1" applyAlignment="1">
      <alignment horizontal="left" vertical="center" wrapText="1"/>
    </xf>
    <xf numFmtId="0" fontId="1" fillId="0" borderId="122" xfId="0" applyFont="1" applyBorder="1" applyAlignment="1">
      <alignment horizontal="center" vertical="center" wrapText="1"/>
    </xf>
    <xf numFmtId="0" fontId="1" fillId="0" borderId="121" xfId="0" applyNumberFormat="1" applyFont="1" applyBorder="1" applyAlignment="1">
      <alignment horizontal="center" vertical="center"/>
    </xf>
    <xf numFmtId="4" fontId="1" fillId="0" borderId="123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2" borderId="4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1" fontId="5" fillId="0" borderId="0" xfId="1" applyNumberFormat="1" applyFont="1" applyAlignment="1">
      <alignment horizontal="center" vertical="center"/>
    </xf>
    <xf numFmtId="1" fontId="1" fillId="0" borderId="116" xfId="1" applyNumberFormat="1" applyBorder="1" applyAlignment="1">
      <alignment horizontal="center" vertical="center"/>
    </xf>
    <xf numFmtId="165" fontId="5" fillId="0" borderId="40" xfId="0" applyNumberFormat="1" applyFont="1" applyFill="1" applyBorder="1" applyAlignment="1">
      <alignment horizontal="center" vertical="center"/>
    </xf>
    <xf numFmtId="4" fontId="5" fillId="0" borderId="104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1" fillId="0" borderId="113" xfId="0" applyFont="1" applyBorder="1" applyAlignment="1">
      <alignment horizontal="center" vertical="center"/>
    </xf>
    <xf numFmtId="0" fontId="1" fillId="0" borderId="26" xfId="0" applyFont="1" applyBorder="1" applyAlignment="1">
      <alignment vertical="center" wrapText="1"/>
    </xf>
    <xf numFmtId="0" fontId="1" fillId="0" borderId="26" xfId="4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 wrapText="1"/>
    </xf>
    <xf numFmtId="4" fontId="1" fillId="0" borderId="26" xfId="0" applyNumberFormat="1" applyFont="1" applyFill="1" applyBorder="1" applyAlignment="1">
      <alignment horizontal="right" vertical="center"/>
    </xf>
    <xf numFmtId="0" fontId="1" fillId="0" borderId="7" xfId="197" applyFont="1" applyBorder="1" applyAlignment="1">
      <alignment horizontal="center" vertical="center" wrapText="1"/>
    </xf>
    <xf numFmtId="0" fontId="1" fillId="0" borderId="7" xfId="197" applyFont="1" applyBorder="1" applyAlignment="1">
      <alignment horizontal="left" vertical="center" wrapText="1"/>
    </xf>
    <xf numFmtId="2" fontId="1" fillId="0" borderId="7" xfId="197" applyNumberFormat="1" applyFont="1" applyBorder="1" applyAlignment="1">
      <alignment horizontal="center" vertical="center" shrinkToFit="1"/>
    </xf>
    <xf numFmtId="4" fontId="1" fillId="0" borderId="7" xfId="4" applyNumberFormat="1" applyFont="1" applyBorder="1" applyAlignment="1">
      <alignment horizontal="right" vertical="center"/>
    </xf>
    <xf numFmtId="0" fontId="1" fillId="0" borderId="7" xfId="196" applyFont="1" applyBorder="1" applyAlignment="1">
      <alignment horizontal="center" vertical="center" wrapText="1"/>
    </xf>
    <xf numFmtId="0" fontId="1" fillId="0" borderId="7" xfId="196" applyFont="1" applyBorder="1" applyAlignment="1">
      <alignment horizontal="left" vertical="center" wrapText="1"/>
    </xf>
    <xf numFmtId="4" fontId="1" fillId="0" borderId="7" xfId="196" applyNumberFormat="1" applyFont="1" applyBorder="1" applyAlignment="1">
      <alignment horizontal="right" vertical="center" wrapText="1"/>
    </xf>
    <xf numFmtId="2" fontId="1" fillId="0" borderId="7" xfId="196" applyNumberFormat="1" applyFont="1" applyBorder="1" applyAlignment="1">
      <alignment horizontal="center" vertical="center" shrinkToFit="1"/>
    </xf>
    <xf numFmtId="4" fontId="1" fillId="0" borderId="26" xfId="0" applyNumberFormat="1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4" fontId="1" fillId="0" borderId="7" xfId="197" applyNumberFormat="1" applyFont="1" applyBorder="1" applyAlignment="1">
      <alignment horizontal="right" vertical="center" shrinkToFit="1"/>
    </xf>
    <xf numFmtId="3" fontId="1" fillId="0" borderId="11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126" xfId="0" applyNumberFormat="1" applyFont="1" applyFill="1" applyBorder="1" applyAlignment="1" applyProtection="1">
      <alignment vertical="top"/>
    </xf>
    <xf numFmtId="0" fontId="1" fillId="0" borderId="126" xfId="0" applyNumberFormat="1" applyFont="1" applyFill="1" applyBorder="1" applyAlignment="1" applyProtection="1">
      <alignment horizontal="center" vertical="top"/>
    </xf>
    <xf numFmtId="0" fontId="1" fillId="0" borderId="126" xfId="0" applyFont="1" applyFill="1" applyBorder="1" applyAlignment="1">
      <alignment horizontal="right" vertical="center" wrapText="1"/>
    </xf>
    <xf numFmtId="165" fontId="5" fillId="0" borderId="116" xfId="0" applyNumberFormat="1" applyFont="1" applyFill="1" applyBorder="1" applyAlignment="1">
      <alignment horizontal="center" vertical="center"/>
    </xf>
    <xf numFmtId="4" fontId="5" fillId="0" borderId="116" xfId="0" applyNumberFormat="1" applyFont="1" applyBorder="1" applyAlignment="1">
      <alignment horizontal="right" vertical="center"/>
    </xf>
    <xf numFmtId="0" fontId="1" fillId="0" borderId="126" xfId="0" applyFont="1" applyBorder="1" applyAlignment="1"/>
    <xf numFmtId="0" fontId="71" fillId="0" borderId="0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0" xfId="223" applyFont="1"/>
    <xf numFmtId="4" fontId="1" fillId="0" borderId="0" xfId="223" applyNumberFormat="1" applyFont="1" applyAlignment="1">
      <alignment horizontal="center" vertical="center"/>
    </xf>
    <xf numFmtId="2" fontId="1" fillId="0" borderId="0" xfId="223" applyNumberFormat="1" applyFont="1" applyAlignment="1">
      <alignment horizontal="center" vertical="center"/>
    </xf>
    <xf numFmtId="2" fontId="1" fillId="0" borderId="81" xfId="0" applyNumberFormat="1" applyFont="1" applyFill="1" applyBorder="1" applyAlignment="1">
      <alignment horizontal="left" vertical="center" wrapText="1"/>
    </xf>
    <xf numFmtId="0" fontId="1" fillId="0" borderId="0" xfId="224" applyFont="1" applyAlignment="1">
      <alignment vertical="center" wrapText="1"/>
    </xf>
    <xf numFmtId="0" fontId="1" fillId="0" borderId="127" xfId="197" applyFont="1" applyBorder="1" applyAlignment="1">
      <alignment horizontal="left" vertical="center" wrapText="1"/>
    </xf>
    <xf numFmtId="2" fontId="82" fillId="0" borderId="127" xfId="197" applyNumberFormat="1" applyFont="1" applyBorder="1" applyAlignment="1">
      <alignment horizontal="center" vertical="center" shrinkToFit="1"/>
    </xf>
    <xf numFmtId="0" fontId="9" fillId="0" borderId="127" xfId="4" applyFont="1" applyBorder="1" applyAlignment="1">
      <alignment horizontal="center" vertical="center"/>
    </xf>
    <xf numFmtId="0" fontId="1" fillId="0" borderId="127" xfId="196" applyFont="1" applyBorder="1" applyAlignment="1">
      <alignment horizontal="left" vertical="center" wrapText="1"/>
    </xf>
    <xf numFmtId="2" fontId="82" fillId="0" borderId="127" xfId="196" applyNumberFormat="1" applyFont="1" applyBorder="1" applyAlignment="1">
      <alignment horizontal="center" vertical="center" shrinkToFit="1"/>
    </xf>
    <xf numFmtId="0" fontId="1" fillId="0" borderId="0" xfId="198" applyFont="1" applyAlignment="1">
      <alignment vertical="center" wrapText="1"/>
    </xf>
    <xf numFmtId="2" fontId="82" fillId="0" borderId="0" xfId="198" applyNumberFormat="1" applyFont="1" applyAlignment="1">
      <alignment horizontal="right" vertical="center" shrinkToFit="1"/>
    </xf>
    <xf numFmtId="2" fontId="82" fillId="0" borderId="0" xfId="198" applyNumberFormat="1" applyFont="1" applyAlignment="1">
      <alignment horizontal="right" vertical="top" shrinkToFit="1"/>
    </xf>
    <xf numFmtId="0" fontId="1" fillId="0" borderId="127" xfId="198" applyFont="1" applyBorder="1" applyAlignment="1">
      <alignment horizontal="left" vertical="center" wrapText="1"/>
    </xf>
    <xf numFmtId="2" fontId="82" fillId="0" borderId="127" xfId="198" applyNumberFormat="1" applyFont="1" applyBorder="1" applyAlignment="1">
      <alignment horizontal="center" vertical="center" shrinkToFit="1"/>
    </xf>
    <xf numFmtId="0" fontId="1" fillId="0" borderId="127" xfId="198" applyFont="1" applyBorder="1" applyAlignment="1">
      <alignment horizontal="center" vertical="center" wrapText="1"/>
    </xf>
    <xf numFmtId="0" fontId="1" fillId="0" borderId="0" xfId="223" applyFont="1" applyAlignment="1">
      <alignment horizontal="center"/>
    </xf>
    <xf numFmtId="0" fontId="1" fillId="2" borderId="106" xfId="0" quotePrefix="1" applyFont="1" applyFill="1" applyBorder="1" applyAlignment="1">
      <alignment horizontal="center" vertical="top" wrapText="1"/>
    </xf>
    <xf numFmtId="4" fontId="1" fillId="2" borderId="105" xfId="0" applyNumberFormat="1" applyFont="1" applyFill="1" applyBorder="1" applyAlignment="1">
      <alignment horizontal="center"/>
    </xf>
    <xf numFmtId="0" fontId="1" fillId="0" borderId="132" xfId="0" applyFont="1" applyFill="1" applyBorder="1" applyAlignment="1">
      <alignment horizontal="center" vertical="center" wrapText="1"/>
    </xf>
    <xf numFmtId="0" fontId="1" fillId="0" borderId="133" xfId="0" applyFont="1" applyFill="1" applyBorder="1" applyAlignment="1">
      <alignment horizontal="center" vertical="center" wrapText="1"/>
    </xf>
    <xf numFmtId="0" fontId="1" fillId="0" borderId="133" xfId="0" applyFont="1" applyFill="1" applyBorder="1" applyAlignment="1">
      <alignment vertical="center" wrapText="1"/>
    </xf>
    <xf numFmtId="0" fontId="1" fillId="0" borderId="133" xfId="0" applyFont="1" applyFill="1" applyBorder="1" applyAlignment="1">
      <alignment horizontal="center" vertical="center"/>
    </xf>
    <xf numFmtId="3" fontId="1" fillId="0" borderId="133" xfId="0" applyNumberFormat="1" applyFont="1" applyFill="1" applyBorder="1" applyAlignment="1">
      <alignment horizontal="center" vertical="center"/>
    </xf>
    <xf numFmtId="4" fontId="1" fillId="0" borderId="133" xfId="0" applyNumberFormat="1" applyFont="1" applyFill="1" applyBorder="1" applyAlignment="1">
      <alignment horizontal="right" vertical="center"/>
    </xf>
    <xf numFmtId="4" fontId="1" fillId="0" borderId="134" xfId="0" applyNumberFormat="1" applyFont="1" applyFill="1" applyBorder="1" applyAlignment="1">
      <alignment horizontal="right" vertical="center"/>
    </xf>
    <xf numFmtId="0" fontId="1" fillId="0" borderId="40" xfId="0" applyFont="1" applyBorder="1" applyAlignment="1">
      <alignment horizontal="left" vertical="center" wrapText="1"/>
    </xf>
    <xf numFmtId="4" fontId="1" fillId="0" borderId="10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2" borderId="105" xfId="0" applyFont="1" applyFill="1" applyBorder="1" applyAlignment="1">
      <alignment horizontal="center" vertical="center"/>
    </xf>
    <xf numFmtId="4" fontId="72" fillId="78" borderId="136" xfId="198" applyNumberFormat="1" applyFont="1" applyFill="1" applyBorder="1" applyAlignment="1">
      <alignment horizontal="right" vertical="center" wrapText="1"/>
    </xf>
    <xf numFmtId="4" fontId="72" fillId="78" borderId="139" xfId="198" applyNumberFormat="1" applyFont="1" applyFill="1" applyBorder="1" applyAlignment="1">
      <alignment horizontal="right" vertical="center" wrapText="1"/>
    </xf>
    <xf numFmtId="4" fontId="5" fillId="0" borderId="115" xfId="0" applyNumberFormat="1" applyFont="1" applyFill="1" applyBorder="1" applyAlignment="1">
      <alignment horizontal="right" vertical="center" wrapText="1"/>
    </xf>
    <xf numFmtId="4" fontId="5" fillId="0" borderId="124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4" fontId="72" fillId="78" borderId="141" xfId="198" applyNumberFormat="1" applyFont="1" applyFill="1" applyBorder="1" applyAlignment="1">
      <alignment horizontal="right" vertical="center" wrapText="1"/>
    </xf>
    <xf numFmtId="4" fontId="3" fillId="79" borderId="20" xfId="0" applyNumberFormat="1" applyFont="1" applyFill="1" applyBorder="1" applyAlignment="1">
      <alignment horizontal="right" vertical="center"/>
    </xf>
    <xf numFmtId="4" fontId="1" fillId="0" borderId="142" xfId="196" applyNumberFormat="1" applyFont="1" applyBorder="1" applyAlignment="1">
      <alignment horizontal="right" vertical="center" shrinkToFit="1"/>
    </xf>
    <xf numFmtId="0" fontId="1" fillId="0" borderId="111" xfId="0" applyFont="1" applyBorder="1" applyAlignment="1">
      <alignment horizontal="center" vertical="center"/>
    </xf>
    <xf numFmtId="0" fontId="1" fillId="0" borderId="5" xfId="196" applyFont="1" applyBorder="1" applyAlignment="1">
      <alignment horizontal="center" vertical="center" wrapText="1"/>
    </xf>
    <xf numFmtId="0" fontId="1" fillId="0" borderId="5" xfId="196" applyFont="1" applyBorder="1" applyAlignment="1">
      <alignment horizontal="left" vertical="center" wrapText="1"/>
    </xf>
    <xf numFmtId="0" fontId="1" fillId="0" borderId="5" xfId="4" applyFont="1" applyBorder="1" applyAlignment="1">
      <alignment horizontal="center" vertical="center"/>
    </xf>
    <xf numFmtId="4" fontId="1" fillId="0" borderId="5" xfId="196" applyNumberFormat="1" applyFont="1" applyBorder="1" applyAlignment="1">
      <alignment horizontal="right" vertical="center" shrinkToFit="1"/>
    </xf>
    <xf numFmtId="4" fontId="1" fillId="0" borderId="5" xfId="196" applyNumberFormat="1" applyFont="1" applyBorder="1" applyAlignment="1">
      <alignment horizontal="right" vertical="center" wrapText="1"/>
    </xf>
    <xf numFmtId="4" fontId="5" fillId="0" borderId="114" xfId="0" applyNumberFormat="1" applyFont="1" applyFill="1" applyBorder="1" applyAlignment="1">
      <alignment horizontal="right" vertical="center" wrapText="1"/>
    </xf>
    <xf numFmtId="4" fontId="72" fillId="78" borderId="144" xfId="198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45" xfId="0" applyNumberFormat="1" applyFont="1" applyFill="1" applyBorder="1" applyAlignment="1">
      <alignment horizontal="right" vertical="center" wrapText="1"/>
    </xf>
    <xf numFmtId="0" fontId="1" fillId="0" borderId="1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" fontId="1" fillId="0" borderId="124" xfId="0" applyNumberFormat="1" applyFont="1" applyFill="1" applyBorder="1" applyAlignment="1">
      <alignment horizontal="right" vertical="center"/>
    </xf>
    <xf numFmtId="0" fontId="5" fillId="0" borderId="127" xfId="198" applyFont="1" applyBorder="1" applyAlignment="1">
      <alignment horizontal="left" vertical="center" wrapText="1"/>
    </xf>
    <xf numFmtId="0" fontId="82" fillId="0" borderId="0" xfId="196" applyFont="1" applyAlignment="1">
      <alignment horizontal="left" vertical="top" wrapText="1"/>
    </xf>
    <xf numFmtId="0" fontId="1" fillId="0" borderId="0" xfId="1" applyAlignment="1">
      <alignment horizontal="center" vertical="center"/>
    </xf>
    <xf numFmtId="0" fontId="1" fillId="0" borderId="0" xfId="1"/>
    <xf numFmtId="4" fontId="1" fillId="0" borderId="0" xfId="1" applyNumberForma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1" fillId="0" borderId="0" xfId="1" applyAlignment="1">
      <alignment vertical="center"/>
    </xf>
    <xf numFmtId="49" fontId="5" fillId="0" borderId="127" xfId="1" applyNumberFormat="1" applyFont="1" applyBorder="1" applyAlignment="1">
      <alignment horizontal="center" vertical="center" wrapText="1"/>
    </xf>
    <xf numFmtId="0" fontId="5" fillId="0" borderId="127" xfId="1" applyFont="1" applyBorder="1" applyAlignment="1">
      <alignment horizontal="center" vertical="center"/>
    </xf>
    <xf numFmtId="4" fontId="5" fillId="0" borderId="127" xfId="1" applyNumberFormat="1" applyFont="1" applyBorder="1" applyAlignment="1">
      <alignment horizontal="center" vertical="center" wrapText="1"/>
    </xf>
    <xf numFmtId="2" fontId="82" fillId="0" borderId="0" xfId="197" applyNumberFormat="1" applyFont="1" applyAlignment="1">
      <alignment horizontal="right" vertical="top" shrinkToFit="1"/>
    </xf>
    <xf numFmtId="0" fontId="82" fillId="0" borderId="127" xfId="196" applyFont="1" applyBorder="1" applyAlignment="1">
      <alignment horizontal="center" vertical="center" wrapText="1"/>
    </xf>
    <xf numFmtId="2" fontId="82" fillId="0" borderId="0" xfId="196" applyNumberFormat="1" applyFont="1" applyAlignment="1">
      <alignment horizontal="right" vertical="top" shrinkToFit="1"/>
    </xf>
    <xf numFmtId="2" fontId="82" fillId="0" borderId="127" xfId="196" applyNumberFormat="1" applyFont="1" applyBorder="1" applyAlignment="1">
      <alignment horizontal="center" vertical="center" wrapText="1"/>
    </xf>
    <xf numFmtId="2" fontId="1" fillId="0" borderId="127" xfId="198" applyNumberFormat="1" applyFont="1" applyBorder="1" applyAlignment="1">
      <alignment horizontal="center" vertical="center" shrinkToFit="1"/>
    </xf>
    <xf numFmtId="49" fontId="5" fillId="0" borderId="148" xfId="1" applyNumberFormat="1" applyFont="1" applyBorder="1" applyAlignment="1">
      <alignment horizontal="center" vertical="center"/>
    </xf>
    <xf numFmtId="4" fontId="5" fillId="0" borderId="148" xfId="1" applyNumberFormat="1" applyFont="1" applyBorder="1" applyAlignment="1">
      <alignment horizontal="center" vertical="center"/>
    </xf>
    <xf numFmtId="2" fontId="5" fillId="0" borderId="149" xfId="1" applyNumberFormat="1" applyFont="1" applyBorder="1" applyAlignment="1">
      <alignment horizontal="center" vertical="center"/>
    </xf>
    <xf numFmtId="2" fontId="5" fillId="0" borderId="151" xfId="1" applyNumberFormat="1" applyFont="1" applyBorder="1" applyAlignment="1">
      <alignment horizontal="center" vertical="center"/>
    </xf>
    <xf numFmtId="0" fontId="5" fillId="0" borderId="152" xfId="1" applyFont="1" applyBorder="1" applyAlignment="1">
      <alignment horizontal="center" vertical="center" wrapText="1"/>
    </xf>
    <xf numFmtId="0" fontId="5" fillId="0" borderId="153" xfId="1" applyFont="1" applyBorder="1" applyAlignment="1">
      <alignment horizontal="center" vertical="center" wrapText="1"/>
    </xf>
    <xf numFmtId="3" fontId="5" fillId="0" borderId="153" xfId="1" applyNumberFormat="1" applyFont="1" applyBorder="1" applyAlignment="1">
      <alignment horizontal="center" vertical="center" wrapText="1"/>
    </xf>
    <xf numFmtId="1" fontId="5" fillId="0" borderId="154" xfId="1" applyNumberFormat="1" applyFont="1" applyBorder="1" applyAlignment="1">
      <alignment horizontal="center" vertical="center" wrapText="1"/>
    </xf>
    <xf numFmtId="0" fontId="1" fillId="0" borderId="130" xfId="197" applyFont="1" applyBorder="1" applyAlignment="1">
      <alignment horizontal="left" vertical="center" wrapText="1"/>
    </xf>
    <xf numFmtId="2" fontId="82" fillId="0" borderId="130" xfId="197" applyNumberFormat="1" applyFont="1" applyBorder="1" applyAlignment="1">
      <alignment horizontal="center" vertical="center" shrinkToFit="1"/>
    </xf>
    <xf numFmtId="0" fontId="9" fillId="0" borderId="130" xfId="4" applyFont="1" applyBorder="1" applyAlignment="1">
      <alignment horizontal="center" vertical="center"/>
    </xf>
    <xf numFmtId="0" fontId="5" fillId="0" borderId="155" xfId="1" applyFont="1" applyBorder="1" applyAlignment="1">
      <alignment vertical="center" wrapText="1"/>
    </xf>
    <xf numFmtId="0" fontId="5" fillId="0" borderId="156" xfId="1" applyFont="1" applyBorder="1" applyAlignment="1">
      <alignment vertical="center"/>
    </xf>
    <xf numFmtId="0" fontId="5" fillId="0" borderId="156" xfId="1" applyFont="1" applyBorder="1" applyAlignment="1">
      <alignment vertical="center" wrapText="1"/>
    </xf>
    <xf numFmtId="0" fontId="5" fillId="0" borderId="156" xfId="1" applyFont="1" applyBorder="1" applyAlignment="1">
      <alignment horizontal="center" vertical="center" wrapText="1"/>
    </xf>
    <xf numFmtId="0" fontId="5" fillId="0" borderId="157" xfId="1" applyFont="1" applyBorder="1" applyAlignment="1">
      <alignment vertical="center" wrapText="1"/>
    </xf>
    <xf numFmtId="49" fontId="83" fillId="0" borderId="155" xfId="4" applyNumberFormat="1" applyFont="1" applyBorder="1" applyAlignment="1">
      <alignment horizontal="right" vertical="center"/>
    </xf>
    <xf numFmtId="0" fontId="83" fillId="0" borderId="156" xfId="4" applyFont="1" applyBorder="1" applyAlignment="1">
      <alignment horizontal="center" vertical="center"/>
    </xf>
    <xf numFmtId="0" fontId="82" fillId="0" borderId="0" xfId="197" applyFont="1" applyAlignment="1">
      <alignment vertical="top" wrapText="1"/>
    </xf>
    <xf numFmtId="0" fontId="82" fillId="0" borderId="0" xfId="196" applyFont="1" applyAlignment="1">
      <alignment vertical="top" wrapText="1"/>
    </xf>
    <xf numFmtId="0" fontId="1" fillId="0" borderId="146" xfId="4" applyFont="1" applyBorder="1" applyAlignment="1">
      <alignment horizontal="right" vertical="center" wrapText="1"/>
    </xf>
    <xf numFmtId="0" fontId="1" fillId="0" borderId="148" xfId="197" applyFont="1" applyBorder="1" applyAlignment="1">
      <alignment horizontal="left" vertical="center" wrapText="1"/>
    </xf>
    <xf numFmtId="2" fontId="82" fillId="0" borderId="148" xfId="197" applyNumberFormat="1" applyFont="1" applyBorder="1" applyAlignment="1">
      <alignment horizontal="center" vertical="center" shrinkToFit="1"/>
    </xf>
    <xf numFmtId="0" fontId="9" fillId="0" borderId="148" xfId="4" applyFont="1" applyBorder="1" applyAlignment="1">
      <alignment horizontal="center" vertical="center"/>
    </xf>
    <xf numFmtId="170" fontId="5" fillId="0" borderId="149" xfId="4" applyNumberFormat="1" applyFont="1" applyBorder="1" applyAlignment="1">
      <alignment horizontal="center" vertical="center"/>
    </xf>
    <xf numFmtId="0" fontId="1" fillId="0" borderId="150" xfId="4" applyFont="1" applyBorder="1" applyAlignment="1">
      <alignment horizontal="right" vertical="center" wrapText="1"/>
    </xf>
    <xf numFmtId="170" fontId="5" fillId="0" borderId="151" xfId="4" applyNumberFormat="1" applyFont="1" applyBorder="1" applyAlignment="1">
      <alignment horizontal="center" vertical="center"/>
    </xf>
    <xf numFmtId="0" fontId="9" fillId="0" borderId="150" xfId="4" applyFont="1" applyBorder="1" applyAlignment="1">
      <alignment horizontal="right" vertical="center" wrapText="1"/>
    </xf>
    <xf numFmtId="49" fontId="84" fillId="0" borderId="150" xfId="198" applyNumberFormat="1" applyFont="1" applyBorder="1" applyAlignment="1">
      <alignment horizontal="right" vertical="center" shrinkToFit="1"/>
    </xf>
    <xf numFmtId="0" fontId="1" fillId="0" borderId="150" xfId="198" applyFont="1" applyBorder="1" applyAlignment="1">
      <alignment horizontal="right" vertical="center" wrapText="1"/>
    </xf>
    <xf numFmtId="0" fontId="9" fillId="0" borderId="161" xfId="4" applyFont="1" applyBorder="1" applyAlignment="1">
      <alignment horizontal="right" vertical="center" wrapText="1"/>
    </xf>
    <xf numFmtId="170" fontId="5" fillId="0" borderId="162" xfId="4" applyNumberFormat="1" applyFont="1" applyBorder="1" applyAlignment="1">
      <alignment horizontal="center" vertical="center"/>
    </xf>
    <xf numFmtId="0" fontId="1" fillId="0" borderId="130" xfId="196" applyFont="1" applyBorder="1" applyAlignment="1">
      <alignment horizontal="left" vertical="center" wrapText="1"/>
    </xf>
    <xf numFmtId="2" fontId="82" fillId="0" borderId="130" xfId="196" applyNumberFormat="1" applyFont="1" applyBorder="1" applyAlignment="1">
      <alignment horizontal="center" vertical="center" shrinkToFit="1"/>
    </xf>
    <xf numFmtId="0" fontId="82" fillId="0" borderId="130" xfId="196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73" fillId="2" borderId="36" xfId="0" applyFont="1" applyFill="1" applyBorder="1" applyAlignment="1">
      <alignment horizontal="center" vertical="center"/>
    </xf>
    <xf numFmtId="0" fontId="73" fillId="2" borderId="24" xfId="0" applyFont="1" applyFill="1" applyBorder="1" applyAlignment="1">
      <alignment horizontal="center" vertical="center"/>
    </xf>
    <xf numFmtId="0" fontId="73" fillId="2" borderId="2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9" fontId="5" fillId="0" borderId="72" xfId="0" applyNumberFormat="1" applyFont="1" applyBorder="1" applyAlignment="1">
      <alignment horizontal="center" vertical="center"/>
    </xf>
    <xf numFmtId="49" fontId="5" fillId="0" borderId="86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72" fillId="0" borderId="14" xfId="0" applyNumberFormat="1" applyFont="1" applyBorder="1" applyAlignment="1">
      <alignment horizontal="center" vertical="center"/>
    </xf>
    <xf numFmtId="49" fontId="72" fillId="0" borderId="23" xfId="0" applyNumberFormat="1" applyFont="1" applyBorder="1" applyAlignment="1">
      <alignment horizontal="center" vertical="center"/>
    </xf>
    <xf numFmtId="1" fontId="69" fillId="0" borderId="0" xfId="1" applyNumberFormat="1" applyFont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1" fontId="70" fillId="0" borderId="0" xfId="1" applyNumberFormat="1" applyFont="1" applyAlignment="1">
      <alignment horizontal="center" vertical="center"/>
    </xf>
    <xf numFmtId="0" fontId="7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49" fontId="72" fillId="0" borderId="36" xfId="0" applyNumberFormat="1" applyFont="1" applyBorder="1" applyAlignment="1">
      <alignment horizontal="center" vertical="center" wrapText="1"/>
    </xf>
    <xf numFmtId="49" fontId="72" fillId="0" borderId="24" xfId="0" applyNumberFormat="1" applyFont="1" applyBorder="1" applyAlignment="1">
      <alignment horizontal="center" vertical="center" wrapText="1"/>
    </xf>
    <xf numFmtId="0" fontId="5" fillId="78" borderId="135" xfId="198" applyFont="1" applyFill="1" applyBorder="1" applyAlignment="1">
      <alignment horizontal="left" vertical="center" wrapText="1"/>
    </xf>
    <xf numFmtId="0" fontId="5" fillId="78" borderId="81" xfId="198" applyFont="1" applyFill="1" applyBorder="1" applyAlignment="1">
      <alignment horizontal="left" vertical="center" wrapText="1"/>
    </xf>
    <xf numFmtId="0" fontId="5" fillId="78" borderId="137" xfId="198" applyFont="1" applyFill="1" applyBorder="1" applyAlignment="1">
      <alignment horizontal="left" vertical="center" wrapText="1"/>
    </xf>
    <xf numFmtId="0" fontId="5" fillId="78" borderId="138" xfId="198" applyFont="1" applyFill="1" applyBorder="1" applyAlignment="1">
      <alignment horizontal="left" vertical="center" wrapText="1"/>
    </xf>
    <xf numFmtId="1" fontId="5" fillId="0" borderId="0" xfId="1" applyNumberFormat="1" applyFont="1" applyAlignment="1">
      <alignment horizontal="center" vertical="center"/>
    </xf>
    <xf numFmtId="1" fontId="5" fillId="0" borderId="116" xfId="1" applyNumberFormat="1" applyFont="1" applyBorder="1" applyAlignment="1">
      <alignment horizontal="center" vertical="center"/>
    </xf>
    <xf numFmtId="1" fontId="1" fillId="0" borderId="106" xfId="1" applyNumberFormat="1" applyBorder="1" applyAlignment="1">
      <alignment horizontal="center" vertical="center"/>
    </xf>
    <xf numFmtId="1" fontId="1" fillId="0" borderId="105" xfId="1" applyNumberFormat="1" applyBorder="1" applyAlignment="1">
      <alignment horizontal="center" vertical="center"/>
    </xf>
    <xf numFmtId="1" fontId="80" fillId="0" borderId="116" xfId="1" applyNumberFormat="1" applyFont="1" applyBorder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1" fontId="1" fillId="0" borderId="40" xfId="1" applyNumberFormat="1" applyBorder="1" applyAlignment="1">
      <alignment horizontal="center" vertical="center"/>
    </xf>
    <xf numFmtId="0" fontId="5" fillId="78" borderId="140" xfId="198" applyFont="1" applyFill="1" applyBorder="1" applyAlignment="1">
      <alignment horizontal="left" vertical="center" wrapText="1"/>
    </xf>
    <xf numFmtId="0" fontId="5" fillId="78" borderId="117" xfId="198" applyFont="1" applyFill="1" applyBorder="1" applyAlignment="1">
      <alignment horizontal="left" vertical="center" wrapText="1"/>
    </xf>
    <xf numFmtId="0" fontId="5" fillId="78" borderId="143" xfId="198" applyFont="1" applyFill="1" applyBorder="1" applyAlignment="1">
      <alignment horizontal="left" vertical="center" wrapText="1"/>
    </xf>
    <xf numFmtId="0" fontId="5" fillId="78" borderId="78" xfId="198" applyFont="1" applyFill="1" applyBorder="1" applyAlignment="1">
      <alignment horizontal="left" vertical="center" wrapText="1"/>
    </xf>
    <xf numFmtId="0" fontId="5" fillId="0" borderId="127" xfId="198" applyFont="1" applyBorder="1" applyAlignment="1">
      <alignment horizontal="left" vertical="center" wrapText="1"/>
    </xf>
    <xf numFmtId="0" fontId="5" fillId="0" borderId="131" xfId="198" applyFont="1" applyBorder="1" applyAlignment="1">
      <alignment horizontal="left" vertical="center" wrapText="1"/>
    </xf>
    <xf numFmtId="1" fontId="80" fillId="0" borderId="0" xfId="1" applyNumberFormat="1" applyFont="1" applyAlignment="1">
      <alignment horizontal="center" vertical="center"/>
    </xf>
    <xf numFmtId="1" fontId="5" fillId="0" borderId="146" xfId="1" applyNumberFormat="1" applyFont="1" applyBorder="1" applyAlignment="1">
      <alignment horizontal="center" vertical="center"/>
    </xf>
    <xf numFmtId="1" fontId="5" fillId="0" borderId="150" xfId="1" applyNumberFormat="1" applyFont="1" applyBorder="1" applyAlignment="1">
      <alignment horizontal="center" vertical="center"/>
    </xf>
    <xf numFmtId="0" fontId="5" fillId="0" borderId="148" xfId="1" applyFont="1" applyBorder="1" applyAlignment="1">
      <alignment horizontal="center" vertical="center"/>
    </xf>
    <xf numFmtId="0" fontId="5" fillId="0" borderId="147" xfId="1" applyFont="1" applyBorder="1" applyAlignment="1">
      <alignment horizontal="center" vertical="center" wrapText="1"/>
    </xf>
    <xf numFmtId="0" fontId="5" fillId="0" borderId="130" xfId="1" applyFont="1" applyBorder="1" applyAlignment="1">
      <alignment horizontal="center" vertical="center" wrapText="1"/>
    </xf>
    <xf numFmtId="0" fontId="5" fillId="0" borderId="151" xfId="198" applyFont="1" applyBorder="1" applyAlignment="1">
      <alignment horizontal="left" vertical="center" wrapText="1"/>
    </xf>
    <xf numFmtId="2" fontId="82" fillId="0" borderId="0" xfId="197" applyNumberFormat="1" applyFont="1" applyAlignment="1">
      <alignment horizontal="right" vertical="top" shrinkToFit="1"/>
    </xf>
    <xf numFmtId="0" fontId="82" fillId="0" borderId="0" xfId="196" applyFont="1" applyAlignment="1">
      <alignment horizontal="left" vertical="top" wrapText="1"/>
    </xf>
    <xf numFmtId="2" fontId="82" fillId="0" borderId="0" xfId="196" applyNumberFormat="1" applyFont="1" applyAlignment="1">
      <alignment horizontal="right" vertical="top" shrinkToFit="1"/>
    </xf>
    <xf numFmtId="0" fontId="82" fillId="0" borderId="0" xfId="197" applyFont="1" applyAlignment="1">
      <alignment horizontal="left" vertical="top" wrapText="1"/>
    </xf>
    <xf numFmtId="0" fontId="5" fillId="0" borderId="159" xfId="198" applyFont="1" applyBorder="1" applyAlignment="1">
      <alignment horizontal="left" vertical="center" wrapText="1"/>
    </xf>
    <xf numFmtId="0" fontId="83" fillId="0" borderId="156" xfId="4" applyFont="1" applyBorder="1" applyAlignment="1">
      <alignment vertical="center"/>
    </xf>
    <xf numFmtId="0" fontId="83" fillId="0" borderId="157" xfId="4" applyFont="1" applyBorder="1" applyAlignment="1">
      <alignment vertical="center"/>
    </xf>
    <xf numFmtId="0" fontId="5" fillId="0" borderId="150" xfId="198" applyFont="1" applyBorder="1" applyAlignment="1">
      <alignment horizontal="left" vertical="center" wrapText="1"/>
    </xf>
    <xf numFmtId="0" fontId="5" fillId="0" borderId="159" xfId="198" applyFont="1" applyFill="1" applyBorder="1" applyAlignment="1">
      <alignment horizontal="left" vertical="center" wrapText="1"/>
    </xf>
    <xf numFmtId="0" fontId="5" fillId="0" borderId="131" xfId="198" applyFont="1" applyFill="1" applyBorder="1" applyAlignment="1">
      <alignment horizontal="left" vertical="center" wrapText="1"/>
    </xf>
    <xf numFmtId="0" fontId="89" fillId="0" borderId="0" xfId="0" applyFont="1" applyAlignment="1">
      <alignment horizontal="center" vertical="center"/>
    </xf>
    <xf numFmtId="0" fontId="5" fillId="80" borderId="150" xfId="198" applyFont="1" applyFill="1" applyBorder="1" applyAlignment="1">
      <alignment horizontal="left" vertical="center" wrapText="1"/>
    </xf>
    <xf numFmtId="0" fontId="5" fillId="80" borderId="127" xfId="198" applyFont="1" applyFill="1" applyBorder="1" applyAlignment="1">
      <alignment horizontal="left" vertical="center" wrapText="1"/>
    </xf>
    <xf numFmtId="170" fontId="72" fillId="80" borderId="151" xfId="198" applyNumberFormat="1" applyFont="1" applyFill="1" applyBorder="1" applyAlignment="1">
      <alignment horizontal="center" vertical="center" wrapText="1"/>
    </xf>
    <xf numFmtId="0" fontId="5" fillId="80" borderId="158" xfId="198" applyFont="1" applyFill="1" applyBorder="1" applyAlignment="1">
      <alignment horizontal="left" vertical="center" wrapText="1"/>
    </xf>
    <xf numFmtId="0" fontId="5" fillId="80" borderId="129" xfId="198" applyFont="1" applyFill="1" applyBorder="1" applyAlignment="1">
      <alignment horizontal="left" vertical="center" wrapText="1"/>
    </xf>
    <xf numFmtId="0" fontId="5" fillId="80" borderId="128" xfId="198" applyFont="1" applyFill="1" applyBorder="1" applyAlignment="1">
      <alignment horizontal="left" vertical="center" wrapText="1"/>
    </xf>
    <xf numFmtId="0" fontId="5" fillId="80" borderId="152" xfId="198" applyFont="1" applyFill="1" applyBorder="1" applyAlignment="1">
      <alignment horizontal="left" vertical="center" wrapText="1"/>
    </xf>
    <xf numFmtId="0" fontId="5" fillId="80" borderId="153" xfId="198" applyFont="1" applyFill="1" applyBorder="1" applyAlignment="1">
      <alignment horizontal="left" vertical="center" wrapText="1"/>
    </xf>
    <xf numFmtId="170" fontId="72" fillId="80" borderId="154" xfId="198" applyNumberFormat="1" applyFont="1" applyFill="1" applyBorder="1" applyAlignment="1">
      <alignment horizontal="center" vertical="center" wrapText="1"/>
    </xf>
    <xf numFmtId="170" fontId="72" fillId="80" borderId="160" xfId="198" applyNumberFormat="1" applyFont="1" applyFill="1" applyBorder="1" applyAlignment="1">
      <alignment horizontal="center" vertical="center" wrapText="1"/>
    </xf>
    <xf numFmtId="170" fontId="5" fillId="80" borderId="151" xfId="198" applyNumberFormat="1" applyFont="1" applyFill="1" applyBorder="1" applyAlignment="1">
      <alignment horizontal="center" vertical="center" wrapText="1"/>
    </xf>
    <xf numFmtId="170" fontId="5" fillId="80" borderId="160" xfId="198" applyNumberFormat="1" applyFont="1" applyFill="1" applyBorder="1" applyAlignment="1">
      <alignment horizontal="center" vertical="center" wrapText="1"/>
    </xf>
    <xf numFmtId="170" fontId="72" fillId="80" borderId="163" xfId="198" applyNumberFormat="1" applyFont="1" applyFill="1" applyBorder="1" applyAlignment="1">
      <alignment horizontal="center" vertical="center" wrapText="1"/>
    </xf>
    <xf numFmtId="0" fontId="5" fillId="80" borderId="164" xfId="198" applyFont="1" applyFill="1" applyBorder="1" applyAlignment="1">
      <alignment horizontal="left" vertical="center" wrapText="1"/>
    </xf>
    <xf numFmtId="0" fontId="5" fillId="80" borderId="165" xfId="198" applyFont="1" applyFill="1" applyBorder="1" applyAlignment="1">
      <alignment horizontal="left" vertical="center" wrapText="1"/>
    </xf>
  </cellXfs>
  <cellStyles count="225">
    <cellStyle name="_PERSONAL" xfId="5" xr:uid="{00000000-0005-0000-0000-000000000000}"/>
    <cellStyle name="_PERSONAL_1" xfId="6" xr:uid="{00000000-0005-0000-0000-000001000000}"/>
    <cellStyle name="_PERSONAL_1_A4 Inwest polskie IIpopr" xfId="7" xr:uid="{00000000-0005-0000-0000-000002000000}"/>
    <cellStyle name="_PERSONAL_1_A4 Inwest polskie IIpopr_PRZEDMIAR - szczegółowy" xfId="8" xr:uid="{00000000-0005-0000-0000-000003000000}"/>
    <cellStyle name="_PERSONAL_1_A4 Inwest polskie IIpopr_PRZEDMIAR - zagreg." xfId="9" xr:uid="{00000000-0005-0000-0000-000004000000}"/>
    <cellStyle name="_PERSONAL_1_Boleslawiec rynk" xfId="10" xr:uid="{00000000-0005-0000-0000-000005000000}"/>
    <cellStyle name="_PERSONAL_1_Boleslawiec rynk_PRZEDMIAR - szczegółowy" xfId="11" xr:uid="{00000000-0005-0000-0000-000006000000}"/>
    <cellStyle name="_PERSONAL_1_Boleslawiec rynk_PRZEDMIAR - zagreg." xfId="12" xr:uid="{00000000-0005-0000-0000-000007000000}"/>
    <cellStyle name="_PERSONAL_1_Buczyna Inwest" xfId="13" xr:uid="{00000000-0005-0000-0000-000008000000}"/>
    <cellStyle name="_PERSONAL_1_Buczyna Inwest_PRZEDMIAR - szczegółowy" xfId="14" xr:uid="{00000000-0005-0000-0000-000009000000}"/>
    <cellStyle name="_PERSONAL_1_Buczyna Inwest_PRZEDMIAR - zagreg." xfId="15" xr:uid="{00000000-0005-0000-0000-00000A000000}"/>
    <cellStyle name="_PERSONAL_1_Inwest Belchatow 1" xfId="16" xr:uid="{00000000-0005-0000-0000-00000B000000}"/>
    <cellStyle name="_PERSONAL_1_Inwest Belchatow 1_PRZEDMIAR - szczegółowy" xfId="17" xr:uid="{00000000-0005-0000-0000-00000C000000}"/>
    <cellStyle name="_PERSONAL_1_Inwest Belchatow 1_PRZEDMIAR - zagreg." xfId="18" xr:uid="{00000000-0005-0000-0000-00000D000000}"/>
    <cellStyle name="_PERSONAL_1_kladka Ruda" xfId="19" xr:uid="{00000000-0005-0000-0000-00000E000000}"/>
    <cellStyle name="_PERSONAL_1_kladka Ruda_PRZEDMIAR - szczegółowy" xfId="20" xr:uid="{00000000-0005-0000-0000-00000F000000}"/>
    <cellStyle name="_PERSONAL_1_kladka Ruda_PRZEDMIAR - zagreg." xfId="21" xr:uid="{00000000-0005-0000-0000-000010000000}"/>
    <cellStyle name="_PERSONAL_1_kladka Slodowa" xfId="22" xr:uid="{00000000-0005-0000-0000-000011000000}"/>
    <cellStyle name="_PERSONAL_1_kladka Slodowa_PRZEDMIAR - szczegółowy" xfId="23" xr:uid="{00000000-0005-0000-0000-000012000000}"/>
    <cellStyle name="_PERSONAL_1_kladka Slodowa_PRZEDMIAR - zagreg." xfId="24" xr:uid="{00000000-0005-0000-0000-000013000000}"/>
    <cellStyle name="_PERSONAL_1_Legnica ofertowe II" xfId="25" xr:uid="{00000000-0005-0000-0000-000014000000}"/>
    <cellStyle name="_PERSONAL_1_Legnica ofertowe II_PRZEDMIAR - szczegółowy" xfId="26" xr:uid="{00000000-0005-0000-0000-000015000000}"/>
    <cellStyle name="_PERSONAL_1_Legnica ofertowe II_PRZEDMIAR - zagreg." xfId="27" xr:uid="{00000000-0005-0000-0000-000016000000}"/>
    <cellStyle name="_PERSONAL_1_Legnica rynkowe" xfId="28" xr:uid="{00000000-0005-0000-0000-000017000000}"/>
    <cellStyle name="_PERSONAL_1_Legnica rynkowe_PRZEDMIAR - szczegółowy" xfId="29" xr:uid="{00000000-0005-0000-0000-000018000000}"/>
    <cellStyle name="_PERSONAL_1_Legnica rynkowe_PRZEDMIAR - zagreg." xfId="30" xr:uid="{00000000-0005-0000-0000-000019000000}"/>
    <cellStyle name="_PERSONAL_1_LegnicaII" xfId="31" xr:uid="{00000000-0005-0000-0000-00001A000000}"/>
    <cellStyle name="_PERSONAL_1_LegnicaII_PRZEDMIAR - szczegółowy" xfId="32" xr:uid="{00000000-0005-0000-0000-00001B000000}"/>
    <cellStyle name="_PERSONAL_1_LegnicaII_PRZEDMIAR - zagreg." xfId="33" xr:uid="{00000000-0005-0000-0000-00001C000000}"/>
    <cellStyle name="_PERSONAL_1_Lubin 2 slepy" xfId="34" xr:uid="{00000000-0005-0000-0000-00001D000000}"/>
    <cellStyle name="_PERSONAL_1_Lubin 2 slepy_PRZEDMIAR - szczegółowy" xfId="35" xr:uid="{00000000-0005-0000-0000-00001E000000}"/>
    <cellStyle name="_PERSONAL_1_Lubin 2 slepy_PRZEDMIAR - zagreg." xfId="36" xr:uid="{00000000-0005-0000-0000-00001F000000}"/>
    <cellStyle name="_PERSONAL_1_Makolno slepy" xfId="37" xr:uid="{00000000-0005-0000-0000-000020000000}"/>
    <cellStyle name="_PERSONAL_1_Makolno Slepy 3" xfId="38" xr:uid="{00000000-0005-0000-0000-000021000000}"/>
    <cellStyle name="_PERSONAL_1_Makolno Slepy 3_PRZEDMIAR - szczegółowy" xfId="39" xr:uid="{00000000-0005-0000-0000-000022000000}"/>
    <cellStyle name="_PERSONAL_1_Makolno Slepy 3_PRZEDMIAR - zagreg." xfId="40" xr:uid="{00000000-0005-0000-0000-000023000000}"/>
    <cellStyle name="_PERSONAL_1_Makolno slepy_PRZEDMIAR - szczegółowy" xfId="41" xr:uid="{00000000-0005-0000-0000-000024000000}"/>
    <cellStyle name="_PERSONAL_1_Makolno slepy_PRZEDMIAR - zagreg." xfId="42" xr:uid="{00000000-0005-0000-0000-000025000000}"/>
    <cellStyle name="_PERSONAL_1_Most Milenijny" xfId="43" xr:uid="{00000000-0005-0000-0000-000026000000}"/>
    <cellStyle name="_PERSONAL_1_Most Milenijny_PRZEDMIAR - szczegółowy" xfId="44" xr:uid="{00000000-0005-0000-0000-000027000000}"/>
    <cellStyle name="_PERSONAL_1_Most Milenijny_PRZEDMIAR - zagreg." xfId="45" xr:uid="{00000000-0005-0000-0000-000028000000}"/>
    <cellStyle name="_PERSONAL_1_mosty Warszawskie" xfId="46" xr:uid="{00000000-0005-0000-0000-000029000000}"/>
    <cellStyle name="_PERSONAL_1_mosty Warszawskie_PRZEDMIAR - szczegółowy" xfId="47" xr:uid="{00000000-0005-0000-0000-00002A000000}"/>
    <cellStyle name="_PERSONAL_1_mosty Warszawskie_PRZEDMIAR - zagreg." xfId="48" xr:uid="{00000000-0005-0000-0000-00002B000000}"/>
    <cellStyle name="_PERSONAL_1_Mszczonow kladka popr" xfId="49" xr:uid="{00000000-0005-0000-0000-00002C000000}"/>
    <cellStyle name="_PERSONAL_1_Mszczonow kladka popr_PRZEDMIAR - szczegółowy" xfId="50" xr:uid="{00000000-0005-0000-0000-00002D000000}"/>
    <cellStyle name="_PERSONAL_1_Mszczonow kladka popr_PRZEDMIAR - zagreg." xfId="51" xr:uid="{00000000-0005-0000-0000-00002E000000}"/>
    <cellStyle name="_PERSONAL_1_Piensk graniczny" xfId="52" xr:uid="{00000000-0005-0000-0000-00002F000000}"/>
    <cellStyle name="_PERSONAL_1_Piensk graniczny_PRZEDMIAR - szczegółowy" xfId="53" xr:uid="{00000000-0005-0000-0000-000030000000}"/>
    <cellStyle name="_PERSONAL_1_Piensk graniczny_PRZEDMIAR - zagreg." xfId="54" xr:uid="{00000000-0005-0000-0000-000031000000}"/>
    <cellStyle name="_PERSONAL_1_Polkowice 2 slepy" xfId="55" xr:uid="{00000000-0005-0000-0000-000032000000}"/>
    <cellStyle name="_PERSONAL_1_Polkowice 2 slepy_PRZEDMIAR - szczegółowy" xfId="56" xr:uid="{00000000-0005-0000-0000-000033000000}"/>
    <cellStyle name="_PERSONAL_1_Polkowice 2 slepy_PRZEDMIAR - zagreg." xfId="57" xr:uid="{00000000-0005-0000-0000-000034000000}"/>
    <cellStyle name="_PERSONAL_1_PRZEDMIAR - szczegółowy" xfId="58" xr:uid="{00000000-0005-0000-0000-000035000000}"/>
    <cellStyle name="_PERSONAL_1_PRZEDMIAR - zagreg." xfId="59" xr:uid="{00000000-0005-0000-0000-000036000000}"/>
    <cellStyle name="_PERSONAL_1_Serock1" xfId="60" xr:uid="{00000000-0005-0000-0000-000037000000}"/>
    <cellStyle name="_PERSONAL_1_Serock1_PRZEDMIAR - szczegółowy" xfId="61" xr:uid="{00000000-0005-0000-0000-000038000000}"/>
    <cellStyle name="_PERSONAL_1_Serock1_PRZEDMIAR - zagreg." xfId="62" xr:uid="{00000000-0005-0000-0000-000039000000}"/>
    <cellStyle name="_PERSONAL_1_Serock12" xfId="63" xr:uid="{00000000-0005-0000-0000-00003A000000}"/>
    <cellStyle name="_PERSONAL_1_Serock12_PRZEDMIAR - szczegółowy" xfId="64" xr:uid="{00000000-0005-0000-0000-00003B000000}"/>
    <cellStyle name="_PERSONAL_1_Serock12_PRZEDMIAR - zagreg." xfId="65" xr:uid="{00000000-0005-0000-0000-00003C000000}"/>
    <cellStyle name="_PERSONAL_1_Swidnica inwest" xfId="66" xr:uid="{00000000-0005-0000-0000-00003D000000}"/>
    <cellStyle name="_PERSONAL_1_Swidnica inwest_PRZEDMIAR - szczegółowy" xfId="67" xr:uid="{00000000-0005-0000-0000-00003E000000}"/>
    <cellStyle name="_PERSONAL_1_Swidnica inwest_PRZEDMIAR - zagreg." xfId="68" xr:uid="{00000000-0005-0000-0000-00003F000000}"/>
    <cellStyle name="_PERSONAL_1_Tarnowka Inwestorski" xfId="69" xr:uid="{00000000-0005-0000-0000-000040000000}"/>
    <cellStyle name="_PERSONAL_1_Tarnowka Inwestorski_PRZEDMIAR - szczegółowy" xfId="70" xr:uid="{00000000-0005-0000-0000-000041000000}"/>
    <cellStyle name="_PERSONAL_1_Tarnowka Inwestorski_PRZEDMIAR - zagreg." xfId="71" xr:uid="{00000000-0005-0000-0000-000042000000}"/>
    <cellStyle name="_PERSONAL_1_Wd22 Inwest 2709" xfId="72" xr:uid="{00000000-0005-0000-0000-000043000000}"/>
    <cellStyle name="_PERSONAL_1_Wd22 Inwest 2709_PRZEDMIAR - szczegółowy" xfId="73" xr:uid="{00000000-0005-0000-0000-000044000000}"/>
    <cellStyle name="_PERSONAL_1_Wd22 Inwest 2709_PRZEDMIAR - zagreg." xfId="74" xr:uid="{00000000-0005-0000-0000-000045000000}"/>
    <cellStyle name="_PERSONAL_PRZEDMIAR - szczegółowy" xfId="75" xr:uid="{00000000-0005-0000-0000-000046000000}"/>
    <cellStyle name="_PERSONAL_PRZEDMIAR - zagreg." xfId="76" xr:uid="{00000000-0005-0000-0000-000047000000}"/>
    <cellStyle name="20% - Accent1" xfId="77" xr:uid="{00000000-0005-0000-0000-000048000000}"/>
    <cellStyle name="20% - Accent2" xfId="78" xr:uid="{00000000-0005-0000-0000-000049000000}"/>
    <cellStyle name="20% - Accent3" xfId="79" xr:uid="{00000000-0005-0000-0000-00004A000000}"/>
    <cellStyle name="20% - Accent4" xfId="80" xr:uid="{00000000-0005-0000-0000-00004B000000}"/>
    <cellStyle name="20% - Accent5" xfId="81" xr:uid="{00000000-0005-0000-0000-00004C000000}"/>
    <cellStyle name="20% - Accent6" xfId="82" xr:uid="{00000000-0005-0000-0000-00004D000000}"/>
    <cellStyle name="20% - akcent 1 2" xfId="83" xr:uid="{00000000-0005-0000-0000-00004E000000}"/>
    <cellStyle name="20% - akcent 1 3" xfId="84" xr:uid="{00000000-0005-0000-0000-00004F000000}"/>
    <cellStyle name="20% - akcent 2 2" xfId="85" xr:uid="{00000000-0005-0000-0000-000050000000}"/>
    <cellStyle name="20% - akcent 2 3" xfId="86" xr:uid="{00000000-0005-0000-0000-000051000000}"/>
    <cellStyle name="20% - akcent 3 2" xfId="87" xr:uid="{00000000-0005-0000-0000-000052000000}"/>
    <cellStyle name="20% - akcent 3 3" xfId="88" xr:uid="{00000000-0005-0000-0000-000053000000}"/>
    <cellStyle name="20% - akcent 4 2" xfId="89" xr:uid="{00000000-0005-0000-0000-000054000000}"/>
    <cellStyle name="20% - akcent 4 3" xfId="90" xr:uid="{00000000-0005-0000-0000-000055000000}"/>
    <cellStyle name="20% - akcent 5 2" xfId="91" xr:uid="{00000000-0005-0000-0000-000056000000}"/>
    <cellStyle name="20% - akcent 5 3" xfId="92" xr:uid="{00000000-0005-0000-0000-000057000000}"/>
    <cellStyle name="20% - akcent 6 2" xfId="93" xr:uid="{00000000-0005-0000-0000-000058000000}"/>
    <cellStyle name="20% - akcent 6 3" xfId="94" xr:uid="{00000000-0005-0000-0000-000059000000}"/>
    <cellStyle name="40% - Accent1" xfId="95" xr:uid="{00000000-0005-0000-0000-00005A000000}"/>
    <cellStyle name="40% - Accent2" xfId="96" xr:uid="{00000000-0005-0000-0000-00005B000000}"/>
    <cellStyle name="40% - Accent3" xfId="97" xr:uid="{00000000-0005-0000-0000-00005C000000}"/>
    <cellStyle name="40% - Accent4" xfId="98" xr:uid="{00000000-0005-0000-0000-00005D000000}"/>
    <cellStyle name="40% - Accent5" xfId="99" xr:uid="{00000000-0005-0000-0000-00005E000000}"/>
    <cellStyle name="40% - Accent6" xfId="100" xr:uid="{00000000-0005-0000-0000-00005F000000}"/>
    <cellStyle name="40% - akcent 1 2" xfId="101" xr:uid="{00000000-0005-0000-0000-000060000000}"/>
    <cellStyle name="40% - akcent 1 3" xfId="102" xr:uid="{00000000-0005-0000-0000-000061000000}"/>
    <cellStyle name="40% - akcent 2 2" xfId="103" xr:uid="{00000000-0005-0000-0000-000062000000}"/>
    <cellStyle name="40% - akcent 2 3" xfId="104" xr:uid="{00000000-0005-0000-0000-000063000000}"/>
    <cellStyle name="40% - akcent 3 2" xfId="105" xr:uid="{00000000-0005-0000-0000-000064000000}"/>
    <cellStyle name="40% - akcent 3 3" xfId="106" xr:uid="{00000000-0005-0000-0000-000065000000}"/>
    <cellStyle name="40% - akcent 4 2" xfId="107" xr:uid="{00000000-0005-0000-0000-000066000000}"/>
    <cellStyle name="40% - akcent 4 3" xfId="108" xr:uid="{00000000-0005-0000-0000-000067000000}"/>
    <cellStyle name="40% - akcent 5 2" xfId="109" xr:uid="{00000000-0005-0000-0000-000068000000}"/>
    <cellStyle name="40% - akcent 5 3" xfId="110" xr:uid="{00000000-0005-0000-0000-000069000000}"/>
    <cellStyle name="40% - akcent 6 2" xfId="111" xr:uid="{00000000-0005-0000-0000-00006A000000}"/>
    <cellStyle name="40% - akcent 6 3" xfId="112" xr:uid="{00000000-0005-0000-0000-00006B000000}"/>
    <cellStyle name="60% - Accent1" xfId="113" xr:uid="{00000000-0005-0000-0000-00006C000000}"/>
    <cellStyle name="60% - Accent2" xfId="114" xr:uid="{00000000-0005-0000-0000-00006D000000}"/>
    <cellStyle name="60% - Accent3" xfId="115" xr:uid="{00000000-0005-0000-0000-00006E000000}"/>
    <cellStyle name="60% - Accent4" xfId="116" xr:uid="{00000000-0005-0000-0000-00006F000000}"/>
    <cellStyle name="60% - Accent5" xfId="117" xr:uid="{00000000-0005-0000-0000-000070000000}"/>
    <cellStyle name="60% - Accent6" xfId="118" xr:uid="{00000000-0005-0000-0000-000071000000}"/>
    <cellStyle name="60% - akcent 1 2" xfId="119" xr:uid="{00000000-0005-0000-0000-000072000000}"/>
    <cellStyle name="60% - akcent 1 3" xfId="120" xr:uid="{00000000-0005-0000-0000-000073000000}"/>
    <cellStyle name="60% - akcent 2 2" xfId="121" xr:uid="{00000000-0005-0000-0000-000074000000}"/>
    <cellStyle name="60% - akcent 2 3" xfId="122" xr:uid="{00000000-0005-0000-0000-000075000000}"/>
    <cellStyle name="60% - akcent 3 2" xfId="123" xr:uid="{00000000-0005-0000-0000-000076000000}"/>
    <cellStyle name="60% - akcent 3 3" xfId="124" xr:uid="{00000000-0005-0000-0000-000077000000}"/>
    <cellStyle name="60% - akcent 4 2" xfId="125" xr:uid="{00000000-0005-0000-0000-000078000000}"/>
    <cellStyle name="60% - akcent 4 3" xfId="126" xr:uid="{00000000-0005-0000-0000-000079000000}"/>
    <cellStyle name="60% - akcent 5 2" xfId="127" xr:uid="{00000000-0005-0000-0000-00007A000000}"/>
    <cellStyle name="60% - akcent 5 3" xfId="128" xr:uid="{00000000-0005-0000-0000-00007B000000}"/>
    <cellStyle name="60% - akcent 6 2" xfId="129" xr:uid="{00000000-0005-0000-0000-00007C000000}"/>
    <cellStyle name="60% - akcent 6 3" xfId="130" xr:uid="{00000000-0005-0000-0000-00007D000000}"/>
    <cellStyle name="Accent1" xfId="131" xr:uid="{00000000-0005-0000-0000-00007E000000}"/>
    <cellStyle name="Accent2" xfId="132" xr:uid="{00000000-0005-0000-0000-00007F000000}"/>
    <cellStyle name="Accent3" xfId="133" xr:uid="{00000000-0005-0000-0000-000080000000}"/>
    <cellStyle name="Accent4" xfId="134" xr:uid="{00000000-0005-0000-0000-000081000000}"/>
    <cellStyle name="Accent5" xfId="135" xr:uid="{00000000-0005-0000-0000-000082000000}"/>
    <cellStyle name="Accent6" xfId="136" xr:uid="{00000000-0005-0000-0000-000083000000}"/>
    <cellStyle name="Akcent 1 2" xfId="137" xr:uid="{00000000-0005-0000-0000-000084000000}"/>
    <cellStyle name="Akcent 1 3" xfId="138" xr:uid="{00000000-0005-0000-0000-000085000000}"/>
    <cellStyle name="Akcent 2 2" xfId="139" xr:uid="{00000000-0005-0000-0000-000086000000}"/>
    <cellStyle name="Akcent 2 3" xfId="140" xr:uid="{00000000-0005-0000-0000-000087000000}"/>
    <cellStyle name="Akcent 3 2" xfId="141" xr:uid="{00000000-0005-0000-0000-000088000000}"/>
    <cellStyle name="Akcent 3 3" xfId="142" xr:uid="{00000000-0005-0000-0000-000089000000}"/>
    <cellStyle name="Akcent 4 2" xfId="143" xr:uid="{00000000-0005-0000-0000-00008A000000}"/>
    <cellStyle name="Akcent 4 3" xfId="144" xr:uid="{00000000-0005-0000-0000-00008B000000}"/>
    <cellStyle name="Akcent 5 2" xfId="145" xr:uid="{00000000-0005-0000-0000-00008C000000}"/>
    <cellStyle name="Akcent 5 3" xfId="146" xr:uid="{00000000-0005-0000-0000-00008D000000}"/>
    <cellStyle name="Akcent 6 2" xfId="147" xr:uid="{00000000-0005-0000-0000-00008E000000}"/>
    <cellStyle name="Akcent 6 3" xfId="148" xr:uid="{00000000-0005-0000-0000-00008F000000}"/>
    <cellStyle name="Bad" xfId="149" xr:uid="{00000000-0005-0000-0000-000090000000}"/>
    <cellStyle name="Calculation" xfId="150" xr:uid="{00000000-0005-0000-0000-000091000000}"/>
    <cellStyle name="Check Cell" xfId="151" xr:uid="{00000000-0005-0000-0000-000092000000}"/>
    <cellStyle name="Comma [0]_laroux" xfId="152" xr:uid="{00000000-0005-0000-0000-000093000000}"/>
    <cellStyle name="Comma_KI-Wiraowa-Okcie" xfId="153" xr:uid="{00000000-0005-0000-0000-000094000000}"/>
    <cellStyle name="Currency [0]_laroux" xfId="154" xr:uid="{00000000-0005-0000-0000-000095000000}"/>
    <cellStyle name="Currency_laroux" xfId="155" xr:uid="{00000000-0005-0000-0000-000096000000}"/>
    <cellStyle name="Dane wejściowe 2" xfId="156" xr:uid="{00000000-0005-0000-0000-000097000000}"/>
    <cellStyle name="Dane wejściowe 3" xfId="157" xr:uid="{00000000-0005-0000-0000-000098000000}"/>
    <cellStyle name="Dane wyjściowe 2" xfId="158" xr:uid="{00000000-0005-0000-0000-000099000000}"/>
    <cellStyle name="Dane wyjściowe 3" xfId="159" xr:uid="{00000000-0005-0000-0000-00009A000000}"/>
    <cellStyle name="Dobre 2" xfId="160" xr:uid="{00000000-0005-0000-0000-00009B000000}"/>
    <cellStyle name="Dobre 3" xfId="161" xr:uid="{00000000-0005-0000-0000-00009C000000}"/>
    <cellStyle name="Dziesiętny 2" xfId="162" xr:uid="{00000000-0005-0000-0000-00009D000000}"/>
    <cellStyle name="Explanatory Text" xfId="163" xr:uid="{00000000-0005-0000-0000-00009E000000}"/>
    <cellStyle name="Good" xfId="164" xr:uid="{00000000-0005-0000-0000-00009F000000}"/>
    <cellStyle name="Heading 1" xfId="165" xr:uid="{00000000-0005-0000-0000-0000A0000000}"/>
    <cellStyle name="Heading 2" xfId="166" xr:uid="{00000000-0005-0000-0000-0000A1000000}"/>
    <cellStyle name="Heading 3" xfId="167" xr:uid="{00000000-0005-0000-0000-0000A2000000}"/>
    <cellStyle name="Heading 4" xfId="168" xr:uid="{00000000-0005-0000-0000-0000A3000000}"/>
    <cellStyle name="Input" xfId="169" xr:uid="{00000000-0005-0000-0000-0000A4000000}"/>
    <cellStyle name="Komórka połączona 2" xfId="170" xr:uid="{00000000-0005-0000-0000-0000A5000000}"/>
    <cellStyle name="Komórka połączona 3" xfId="171" xr:uid="{00000000-0005-0000-0000-0000A6000000}"/>
    <cellStyle name="Komórka zaznaczona 2" xfId="172" xr:uid="{00000000-0005-0000-0000-0000A7000000}"/>
    <cellStyle name="Komórka zaznaczona 3" xfId="173" xr:uid="{00000000-0005-0000-0000-0000A8000000}"/>
    <cellStyle name="Linked Cell" xfId="174" xr:uid="{00000000-0005-0000-0000-0000A9000000}"/>
    <cellStyle name="Nagłówek 1 2" xfId="175" xr:uid="{00000000-0005-0000-0000-0000AA000000}"/>
    <cellStyle name="Nagłówek 1 3" xfId="176" xr:uid="{00000000-0005-0000-0000-0000AB000000}"/>
    <cellStyle name="Nagłówek 2 2" xfId="177" xr:uid="{00000000-0005-0000-0000-0000AC000000}"/>
    <cellStyle name="Nagłówek 2 3" xfId="178" xr:uid="{00000000-0005-0000-0000-0000AD000000}"/>
    <cellStyle name="Nagłówek 3 2" xfId="179" xr:uid="{00000000-0005-0000-0000-0000AE000000}"/>
    <cellStyle name="Nagłówek 3 3" xfId="180" xr:uid="{00000000-0005-0000-0000-0000AF000000}"/>
    <cellStyle name="Nagłówek 4 2" xfId="181" xr:uid="{00000000-0005-0000-0000-0000B0000000}"/>
    <cellStyle name="Nagłówek 4 3" xfId="182" xr:uid="{00000000-0005-0000-0000-0000B1000000}"/>
    <cellStyle name="Neutral" xfId="183" xr:uid="{00000000-0005-0000-0000-0000B2000000}"/>
    <cellStyle name="Neutralne 2" xfId="184" xr:uid="{00000000-0005-0000-0000-0000B3000000}"/>
    <cellStyle name="Neutralne 3" xfId="185" xr:uid="{00000000-0005-0000-0000-0000B4000000}"/>
    <cellStyle name="None" xfId="186" xr:uid="{00000000-0005-0000-0000-0000B5000000}"/>
    <cellStyle name="Normal_KI-Wiraowa-Okcie" xfId="187" xr:uid="{00000000-0005-0000-0000-0000B6000000}"/>
    <cellStyle name="normální_laroux" xfId="188" xr:uid="{00000000-0005-0000-0000-0000B7000000}"/>
    <cellStyle name="Normalny" xfId="0" builtinId="0"/>
    <cellStyle name="Normalny 10" xfId="189" xr:uid="{00000000-0005-0000-0000-0000B9000000}"/>
    <cellStyle name="Normalny 11" xfId="190" xr:uid="{00000000-0005-0000-0000-0000BA000000}"/>
    <cellStyle name="Normalny 12" xfId="222" xr:uid="{00000000-0005-0000-0000-0000BB000000}"/>
    <cellStyle name="Normalny 13" xfId="223" xr:uid="{AAC9671A-BEE4-4355-A186-59D9FF19388F}"/>
    <cellStyle name="Normalny 2" xfId="1" xr:uid="{00000000-0005-0000-0000-0000BC000000}"/>
    <cellStyle name="Normalny 3" xfId="191" xr:uid="{00000000-0005-0000-0000-0000BD000000}"/>
    <cellStyle name="Normalny 3 2" xfId="2" xr:uid="{00000000-0005-0000-0000-0000BE000000}"/>
    <cellStyle name="Normalny 3_KD KI" xfId="192" xr:uid="{00000000-0005-0000-0000-0000BF000000}"/>
    <cellStyle name="Normalny 4" xfId="193" xr:uid="{00000000-0005-0000-0000-0000C0000000}"/>
    <cellStyle name="Normalny 4 2" xfId="194" xr:uid="{00000000-0005-0000-0000-0000C1000000}"/>
    <cellStyle name="Normalny 5" xfId="195" xr:uid="{00000000-0005-0000-0000-0000C2000000}"/>
    <cellStyle name="Normalny 6" xfId="4" xr:uid="{00000000-0005-0000-0000-0000C3000000}"/>
    <cellStyle name="Normalny 7" xfId="196" xr:uid="{00000000-0005-0000-0000-0000C4000000}"/>
    <cellStyle name="Normalny 8" xfId="197" xr:uid="{00000000-0005-0000-0000-0000C5000000}"/>
    <cellStyle name="Normalny 9" xfId="198" xr:uid="{00000000-0005-0000-0000-0000C6000000}"/>
    <cellStyle name="Normalny_Droga S5 - przedmiar drogowy wersja 30_09" xfId="224" xr:uid="{E74AA932-81FF-423E-8352-EE432252482F}"/>
    <cellStyle name="Normalny_KD KI" xfId="3" xr:uid="{00000000-0005-0000-0000-0000C7000000}"/>
    <cellStyle name="Note" xfId="199" xr:uid="{00000000-0005-0000-0000-0000C8000000}"/>
    <cellStyle name="Obliczenia 2" xfId="200" xr:uid="{00000000-0005-0000-0000-0000C9000000}"/>
    <cellStyle name="Obliczenia 3" xfId="201" xr:uid="{00000000-0005-0000-0000-0000CA000000}"/>
    <cellStyle name="Opis" xfId="202" xr:uid="{00000000-0005-0000-0000-0000CB000000}"/>
    <cellStyle name="Output" xfId="203" xr:uid="{00000000-0005-0000-0000-0000CC000000}"/>
    <cellStyle name="PRZEDMIAR" xfId="204" xr:uid="{00000000-0005-0000-0000-0000CD000000}"/>
    <cellStyle name="PRZEDMIAR 2" xfId="205" xr:uid="{00000000-0005-0000-0000-0000CE000000}"/>
    <cellStyle name="Styl 1" xfId="206" xr:uid="{00000000-0005-0000-0000-0000CF000000}"/>
    <cellStyle name="Suma 2" xfId="207" xr:uid="{00000000-0005-0000-0000-0000D0000000}"/>
    <cellStyle name="Suma 3" xfId="208" xr:uid="{00000000-0005-0000-0000-0000D1000000}"/>
    <cellStyle name="Tekst objaśnienia 2" xfId="209" xr:uid="{00000000-0005-0000-0000-0000D2000000}"/>
    <cellStyle name="Tekst objaśnienia 3" xfId="210" xr:uid="{00000000-0005-0000-0000-0000D3000000}"/>
    <cellStyle name="Tekst ostrzeżenia 2" xfId="211" xr:uid="{00000000-0005-0000-0000-0000D4000000}"/>
    <cellStyle name="Tekst ostrzeżenia 3" xfId="212" xr:uid="{00000000-0005-0000-0000-0000D5000000}"/>
    <cellStyle name="Title" xfId="213" xr:uid="{00000000-0005-0000-0000-0000D6000000}"/>
    <cellStyle name="Total" xfId="214" xr:uid="{00000000-0005-0000-0000-0000D7000000}"/>
    <cellStyle name="Tytuł 2" xfId="215" xr:uid="{00000000-0005-0000-0000-0000D8000000}"/>
    <cellStyle name="Tytuł 3" xfId="216" xr:uid="{00000000-0005-0000-0000-0000D9000000}"/>
    <cellStyle name="Uwaga 2" xfId="217" xr:uid="{00000000-0005-0000-0000-0000DA000000}"/>
    <cellStyle name="Uwaga 3" xfId="218" xr:uid="{00000000-0005-0000-0000-0000DB000000}"/>
    <cellStyle name="Warning Text" xfId="219" xr:uid="{00000000-0005-0000-0000-0000DC000000}"/>
    <cellStyle name="Złe 2" xfId="220" xr:uid="{00000000-0005-0000-0000-0000DD000000}"/>
    <cellStyle name="Złe 3" xfId="221" xr:uid="{00000000-0005-0000-0000-0000D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l/slowni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Arkusz2"/>
      <sheetName val="Arkusz3"/>
      <sheetName val="slownie"/>
    </sheetNames>
    <definedNames>
      <definedName name="slownie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I46"/>
  <sheetViews>
    <sheetView showZeros="0" topLeftCell="A18" zoomScale="120" zoomScaleNormal="120" zoomScaleSheetLayoutView="110" workbookViewId="0">
      <selection activeCell="B49" sqref="B49"/>
    </sheetView>
  </sheetViews>
  <sheetFormatPr defaultRowHeight="12.75"/>
  <cols>
    <col min="1" max="1" width="5.85546875" style="7" customWidth="1"/>
    <col min="2" max="2" width="13.42578125" style="7" customWidth="1"/>
    <col min="3" max="3" width="56.28515625" style="7" customWidth="1"/>
    <col min="4" max="8" width="16.7109375" style="7" hidden="1" customWidth="1"/>
    <col min="9" max="9" width="18.42578125" style="7" customWidth="1"/>
    <col min="10" max="16384" width="9.140625" style="1"/>
  </cols>
  <sheetData>
    <row r="1" spans="1:9" ht="28.5" customHeight="1">
      <c r="A1" s="530" t="s">
        <v>20</v>
      </c>
      <c r="B1" s="530"/>
      <c r="C1" s="530"/>
      <c r="D1" s="530"/>
      <c r="E1" s="530"/>
      <c r="F1" s="530"/>
      <c r="G1" s="530"/>
      <c r="H1" s="530"/>
      <c r="I1" s="530"/>
    </row>
    <row r="2" spans="1:9" s="2" customFormat="1" ht="44.25" customHeight="1">
      <c r="A2" s="531" t="s">
        <v>128</v>
      </c>
      <c r="B2" s="532"/>
      <c r="C2" s="532"/>
      <c r="D2" s="532"/>
      <c r="E2" s="532"/>
      <c r="F2" s="532"/>
      <c r="G2" s="532"/>
      <c r="H2" s="532"/>
      <c r="I2" s="532"/>
    </row>
    <row r="3" spans="1:9" ht="6.75" customHeight="1" thickBot="1">
      <c r="A3" s="40" t="s">
        <v>50</v>
      </c>
      <c r="C3" s="112"/>
    </row>
    <row r="4" spans="1:9" s="12" customFormat="1" ht="46.5" customHeight="1" thickBot="1">
      <c r="A4" s="33" t="s">
        <v>1</v>
      </c>
      <c r="B4" s="33" t="s">
        <v>23</v>
      </c>
      <c r="C4" s="33" t="s">
        <v>3</v>
      </c>
      <c r="D4" s="33" t="s">
        <v>18</v>
      </c>
      <c r="E4" s="33" t="s">
        <v>19</v>
      </c>
      <c r="F4" s="33" t="s">
        <v>21</v>
      </c>
      <c r="G4" s="33" t="s">
        <v>27</v>
      </c>
      <c r="H4" s="33" t="s">
        <v>28</v>
      </c>
      <c r="I4" s="33" t="s">
        <v>14</v>
      </c>
    </row>
    <row r="5" spans="1:9" s="13" customFormat="1" ht="20.100000000000001" customHeight="1" thickBot="1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  <c r="I5" s="34">
        <v>4</v>
      </c>
    </row>
    <row r="6" spans="1:9" s="13" customFormat="1" ht="24.95" customHeight="1" thickBot="1">
      <c r="A6" s="536" t="s">
        <v>104</v>
      </c>
      <c r="B6" s="537"/>
      <c r="C6" s="537"/>
      <c r="D6" s="537"/>
      <c r="E6" s="537"/>
      <c r="F6" s="537"/>
      <c r="G6" s="537"/>
      <c r="H6" s="537"/>
      <c r="I6" s="538"/>
    </row>
    <row r="7" spans="1:9" s="13" customFormat="1" ht="20.100000000000001" customHeight="1" thickBot="1">
      <c r="A7" s="533" t="s">
        <v>127</v>
      </c>
      <c r="B7" s="534"/>
      <c r="C7" s="534"/>
      <c r="D7" s="534"/>
      <c r="E7" s="534"/>
      <c r="F7" s="534"/>
      <c r="G7" s="534"/>
      <c r="H7" s="534"/>
      <c r="I7" s="535"/>
    </row>
    <row r="8" spans="1:9" s="4" customFormat="1" ht="20.100000000000001" customHeight="1">
      <c r="A8" s="20">
        <v>1</v>
      </c>
      <c r="B8" s="21" t="s">
        <v>4</v>
      </c>
      <c r="C8" s="21" t="s">
        <v>2</v>
      </c>
      <c r="D8" s="22"/>
      <c r="E8" s="22"/>
      <c r="F8" s="26"/>
      <c r="G8" s="22"/>
      <c r="H8" s="26"/>
      <c r="I8" s="29">
        <f>KI!G15</f>
        <v>19900</v>
      </c>
    </row>
    <row r="9" spans="1:9" s="4" customFormat="1" ht="20.100000000000001" customHeight="1">
      <c r="A9" s="19">
        <v>2</v>
      </c>
      <c r="B9" s="39" t="s">
        <v>49</v>
      </c>
      <c r="C9" s="37" t="s">
        <v>32</v>
      </c>
      <c r="D9" s="18"/>
      <c r="E9" s="18"/>
      <c r="F9" s="27"/>
      <c r="G9" s="18"/>
      <c r="H9" s="27"/>
      <c r="I9" s="30">
        <f>KI!G21</f>
        <v>138178.5</v>
      </c>
    </row>
    <row r="10" spans="1:9" s="4" customFormat="1" ht="20.100000000000001" customHeight="1">
      <c r="A10" s="17">
        <v>3</v>
      </c>
      <c r="B10" s="39" t="s">
        <v>5</v>
      </c>
      <c r="C10" s="38" t="s">
        <v>6</v>
      </c>
      <c r="D10" s="18"/>
      <c r="E10" s="18"/>
      <c r="F10" s="27"/>
      <c r="G10" s="18"/>
      <c r="H10" s="27"/>
      <c r="I10" s="30">
        <f>KI!G26</f>
        <v>207126</v>
      </c>
    </row>
    <row r="11" spans="1:9" s="4" customFormat="1" ht="20.100000000000001" customHeight="1">
      <c r="A11" s="17">
        <v>4</v>
      </c>
      <c r="B11" s="39" t="s">
        <v>7</v>
      </c>
      <c r="C11" s="37" t="s">
        <v>8</v>
      </c>
      <c r="D11" s="18"/>
      <c r="E11" s="18"/>
      <c r="F11" s="27"/>
      <c r="G11" s="18"/>
      <c r="H11" s="27"/>
      <c r="I11" s="30">
        <f>KI!G31</f>
        <v>191643</v>
      </c>
    </row>
    <row r="12" spans="1:9" s="8" customFormat="1" ht="20.100000000000001" customHeight="1">
      <c r="A12" s="17">
        <v>5</v>
      </c>
      <c r="B12" s="39" t="s">
        <v>153</v>
      </c>
      <c r="C12" s="37" t="s">
        <v>11</v>
      </c>
      <c r="D12" s="18"/>
      <c r="E12" s="18"/>
      <c r="F12" s="27"/>
      <c r="G12" s="18"/>
      <c r="H12" s="27"/>
      <c r="I12" s="30">
        <f>KI!G37</f>
        <v>52870</v>
      </c>
    </row>
    <row r="13" spans="1:9" s="8" customFormat="1" ht="20.100000000000001" customHeight="1" thickBot="1">
      <c r="A13" s="107">
        <v>6</v>
      </c>
      <c r="B13" s="72" t="s">
        <v>154</v>
      </c>
      <c r="C13" s="108" t="s">
        <v>73</v>
      </c>
      <c r="D13" s="109"/>
      <c r="E13" s="109"/>
      <c r="F13" s="110"/>
      <c r="G13" s="109"/>
      <c r="H13" s="110"/>
      <c r="I13" s="111">
        <f>KI!G40</f>
        <v>5940</v>
      </c>
    </row>
    <row r="14" spans="1:9" s="8" customFormat="1" ht="20.100000000000001" customHeight="1" thickBot="1">
      <c r="A14" s="275"/>
      <c r="B14" s="276"/>
      <c r="C14" s="277" t="s">
        <v>14</v>
      </c>
      <c r="D14" s="278"/>
      <c r="E14" s="278"/>
      <c r="F14" s="278"/>
      <c r="G14" s="278"/>
      <c r="H14" s="278"/>
      <c r="I14" s="279">
        <f>SUM(I8:I13)</f>
        <v>615657.5</v>
      </c>
    </row>
    <row r="15" spans="1:9" s="13" customFormat="1" ht="20.100000000000001" customHeight="1" thickBot="1">
      <c r="A15" s="533" t="s">
        <v>123</v>
      </c>
      <c r="B15" s="534"/>
      <c r="C15" s="534"/>
      <c r="D15" s="534"/>
      <c r="E15" s="534"/>
      <c r="F15" s="534"/>
      <c r="G15" s="534"/>
      <c r="H15" s="534"/>
      <c r="I15" s="535"/>
    </row>
    <row r="16" spans="1:9" s="4" customFormat="1" ht="20.100000000000001" customHeight="1">
      <c r="A16" s="20">
        <v>7</v>
      </c>
      <c r="B16" s="21" t="s">
        <v>4</v>
      </c>
      <c r="C16" s="21" t="s">
        <v>2</v>
      </c>
      <c r="D16" s="22"/>
      <c r="E16" s="22"/>
      <c r="F16" s="26"/>
      <c r="G16" s="22"/>
      <c r="H16" s="26"/>
      <c r="I16" s="29">
        <f>KI!G53</f>
        <v>30670.5</v>
      </c>
    </row>
    <row r="17" spans="1:9" s="4" customFormat="1" ht="20.100000000000001" customHeight="1">
      <c r="A17" s="19">
        <v>8</v>
      </c>
      <c r="B17" s="39" t="s">
        <v>49</v>
      </c>
      <c r="C17" s="37" t="s">
        <v>32</v>
      </c>
      <c r="D17" s="18"/>
      <c r="E17" s="18"/>
      <c r="F17" s="27"/>
      <c r="G17" s="18"/>
      <c r="H17" s="27"/>
      <c r="I17" s="30">
        <f>KI!G57</f>
        <v>183712.5</v>
      </c>
    </row>
    <row r="18" spans="1:9" s="4" customFormat="1" ht="20.100000000000001" customHeight="1">
      <c r="A18" s="17">
        <v>9</v>
      </c>
      <c r="B18" s="39" t="s">
        <v>5</v>
      </c>
      <c r="C18" s="38" t="s">
        <v>6</v>
      </c>
      <c r="D18" s="18"/>
      <c r="E18" s="18"/>
      <c r="F18" s="27"/>
      <c r="G18" s="18"/>
      <c r="H18" s="27"/>
      <c r="I18" s="30">
        <f>KI!G62</f>
        <v>412686</v>
      </c>
    </row>
    <row r="19" spans="1:9" s="4" customFormat="1" ht="20.100000000000001" customHeight="1">
      <c r="A19" s="17">
        <v>10</v>
      </c>
      <c r="B19" s="39" t="s">
        <v>7</v>
      </c>
      <c r="C19" s="37" t="s">
        <v>8</v>
      </c>
      <c r="D19" s="18"/>
      <c r="E19" s="18"/>
      <c r="F19" s="27"/>
      <c r="G19" s="18"/>
      <c r="H19" s="27"/>
      <c r="I19" s="30">
        <f>KI!G68</f>
        <v>399027</v>
      </c>
    </row>
    <row r="20" spans="1:9" s="4" customFormat="1" ht="20.100000000000001" customHeight="1">
      <c r="A20" s="17">
        <v>11</v>
      </c>
      <c r="B20" s="39" t="s">
        <v>140</v>
      </c>
      <c r="C20" s="37" t="s">
        <v>141</v>
      </c>
      <c r="D20" s="18"/>
      <c r="E20" s="18"/>
      <c r="F20" s="27"/>
      <c r="G20" s="18"/>
      <c r="H20" s="27"/>
      <c r="I20" s="30">
        <f>KI!G74</f>
        <v>13756</v>
      </c>
    </row>
    <row r="21" spans="1:9" s="8" customFormat="1" ht="20.100000000000001" customHeight="1" thickBot="1">
      <c r="A21" s="23">
        <v>12</v>
      </c>
      <c r="B21" s="117" t="s">
        <v>153</v>
      </c>
      <c r="C21" s="118" t="s">
        <v>11</v>
      </c>
      <c r="D21" s="24"/>
      <c r="E21" s="24"/>
      <c r="F21" s="28"/>
      <c r="G21" s="24"/>
      <c r="H21" s="28"/>
      <c r="I21" s="31">
        <f>KI!G81</f>
        <v>178100</v>
      </c>
    </row>
    <row r="22" spans="1:9" s="8" customFormat="1" ht="20.100000000000001" customHeight="1" thickBot="1">
      <c r="A22" s="280"/>
      <c r="B22" s="281"/>
      <c r="C22" s="282" t="s">
        <v>14</v>
      </c>
      <c r="D22" s="283"/>
      <c r="E22" s="283"/>
      <c r="F22" s="283"/>
      <c r="G22" s="283"/>
      <c r="H22" s="283"/>
      <c r="I22" s="279">
        <f>SUM(I16:I21)</f>
        <v>1217952</v>
      </c>
    </row>
    <row r="23" spans="1:9" s="13" customFormat="1" ht="24.95" customHeight="1" thickBot="1">
      <c r="A23" s="536" t="s">
        <v>105</v>
      </c>
      <c r="B23" s="537"/>
      <c r="C23" s="537"/>
      <c r="D23" s="537"/>
      <c r="E23" s="537"/>
      <c r="F23" s="537"/>
      <c r="G23" s="537"/>
      <c r="H23" s="537"/>
      <c r="I23" s="538"/>
    </row>
    <row r="24" spans="1:9" s="13" customFormat="1" ht="20.100000000000001" customHeight="1" thickBot="1">
      <c r="A24" s="533" t="s">
        <v>127</v>
      </c>
      <c r="B24" s="534"/>
      <c r="C24" s="534"/>
      <c r="D24" s="534"/>
      <c r="E24" s="534"/>
      <c r="F24" s="534"/>
      <c r="G24" s="534"/>
      <c r="H24" s="534"/>
      <c r="I24" s="535"/>
    </row>
    <row r="25" spans="1:9" s="4" customFormat="1" ht="20.100000000000001" customHeight="1">
      <c r="A25" s="20">
        <v>13</v>
      </c>
      <c r="B25" s="115" t="s">
        <v>88</v>
      </c>
      <c r="C25" s="115" t="s">
        <v>32</v>
      </c>
      <c r="D25" s="22"/>
      <c r="E25" s="22"/>
      <c r="F25" s="26"/>
      <c r="G25" s="22"/>
      <c r="H25" s="26"/>
      <c r="I25" s="32">
        <f>KI!G96</f>
        <v>52540.24</v>
      </c>
    </row>
    <row r="26" spans="1:9" s="4" customFormat="1" ht="20.100000000000001" customHeight="1" thickBot="1">
      <c r="A26" s="116">
        <v>14</v>
      </c>
      <c r="B26" s="117" t="s">
        <v>82</v>
      </c>
      <c r="C26" s="118" t="s">
        <v>106</v>
      </c>
      <c r="D26" s="24"/>
      <c r="E26" s="24"/>
      <c r="F26" s="28"/>
      <c r="G26" s="24"/>
      <c r="H26" s="28"/>
      <c r="I26" s="31">
        <f>KI!G108</f>
        <v>106417.95</v>
      </c>
    </row>
    <row r="27" spans="1:9" s="8" customFormat="1" ht="20.100000000000001" customHeight="1" thickBot="1">
      <c r="A27" s="280"/>
      <c r="B27" s="281"/>
      <c r="C27" s="282" t="s">
        <v>14</v>
      </c>
      <c r="D27" s="283"/>
      <c r="E27" s="283"/>
      <c r="F27" s="283"/>
      <c r="G27" s="283"/>
      <c r="H27" s="283"/>
      <c r="I27" s="279">
        <f>SUM(I25:I26)</f>
        <v>158958.19</v>
      </c>
    </row>
    <row r="28" spans="1:9" s="13" customFormat="1" ht="20.100000000000001" customHeight="1" thickBot="1">
      <c r="A28" s="533" t="s">
        <v>123</v>
      </c>
      <c r="B28" s="534"/>
      <c r="C28" s="534"/>
      <c r="D28" s="534"/>
      <c r="E28" s="534"/>
      <c r="F28" s="534"/>
      <c r="G28" s="534"/>
      <c r="H28" s="534"/>
      <c r="I28" s="535"/>
    </row>
    <row r="29" spans="1:9" s="4" customFormat="1" ht="20.100000000000001" customHeight="1">
      <c r="A29" s="20">
        <v>15</v>
      </c>
      <c r="B29" s="115" t="s">
        <v>88</v>
      </c>
      <c r="C29" s="115" t="s">
        <v>32</v>
      </c>
      <c r="D29" s="22"/>
      <c r="E29" s="22"/>
      <c r="F29" s="26"/>
      <c r="G29" s="22"/>
      <c r="H29" s="26"/>
      <c r="I29" s="32">
        <f>KI!G122</f>
        <v>322392.81</v>
      </c>
    </row>
    <row r="30" spans="1:9" s="4" customFormat="1" ht="20.100000000000001" customHeight="1" thickBot="1">
      <c r="A30" s="116">
        <v>16</v>
      </c>
      <c r="B30" s="117" t="s">
        <v>82</v>
      </c>
      <c r="C30" s="118" t="s">
        <v>106</v>
      </c>
      <c r="D30" s="24"/>
      <c r="E30" s="24"/>
      <c r="F30" s="28"/>
      <c r="G30" s="24"/>
      <c r="H30" s="28"/>
      <c r="I30" s="31">
        <f>KI!G141</f>
        <v>796419.46</v>
      </c>
    </row>
    <row r="31" spans="1:9" s="8" customFormat="1" ht="20.100000000000001" customHeight="1" thickBot="1">
      <c r="A31" s="280"/>
      <c r="B31" s="281"/>
      <c r="C31" s="282" t="s">
        <v>14</v>
      </c>
      <c r="D31" s="283"/>
      <c r="E31" s="283"/>
      <c r="F31" s="283"/>
      <c r="G31" s="283"/>
      <c r="H31" s="283"/>
      <c r="I31" s="279">
        <f>SUM(I29:I30)</f>
        <v>1118812.27</v>
      </c>
    </row>
    <row r="32" spans="1:9" s="4" customFormat="1" ht="20.100000000000001" customHeight="1">
      <c r="A32" s="119">
        <v>17</v>
      </c>
      <c r="B32" s="540" t="s">
        <v>150</v>
      </c>
      <c r="C32" s="541"/>
      <c r="D32" s="120" t="e">
        <f>SUM(#REF!)</f>
        <v>#REF!</v>
      </c>
      <c r="E32" s="120" t="e">
        <f>SUM(#REF!)</f>
        <v>#REF!</v>
      </c>
      <c r="F32" s="121" t="e">
        <f>SUM(#REF!)</f>
        <v>#REF!</v>
      </c>
      <c r="G32" s="120" t="e">
        <f>SUM(#REF!)</f>
        <v>#REF!</v>
      </c>
      <c r="H32" s="121" t="e">
        <f>SUM(#REF!)</f>
        <v>#REF!</v>
      </c>
      <c r="I32" s="122">
        <f>I31+I27+I22+I14</f>
        <v>3111379.96</v>
      </c>
    </row>
    <row r="33" spans="1:9" s="4" customFormat="1" ht="20.100000000000001" customHeight="1" thickBot="1">
      <c r="A33" s="23">
        <v>18</v>
      </c>
      <c r="B33" s="542" t="s">
        <v>151</v>
      </c>
      <c r="C33" s="543"/>
      <c r="D33" s="24" t="e">
        <f>D32*22%</f>
        <v>#REF!</v>
      </c>
      <c r="E33" s="24" t="e">
        <f>E32*22%</f>
        <v>#REF!</v>
      </c>
      <c r="F33" s="28" t="e">
        <f>F32*22%</f>
        <v>#REF!</v>
      </c>
      <c r="G33" s="24" t="e">
        <f>G32*22%</f>
        <v>#REF!</v>
      </c>
      <c r="H33" s="28" t="e">
        <f>H32*22%</f>
        <v>#REF!</v>
      </c>
      <c r="I33" s="123">
        <f>ROUND(I32*0.23,2)</f>
        <v>715617.39</v>
      </c>
    </row>
    <row r="34" spans="1:9" s="4" customFormat="1" ht="24.95" customHeight="1" thickTop="1" thickBot="1">
      <c r="A34" s="25">
        <v>19</v>
      </c>
      <c r="B34" s="544" t="s">
        <v>152</v>
      </c>
      <c r="C34" s="545"/>
      <c r="D34" s="284" t="e">
        <f>SUM(D32:D33)</f>
        <v>#REF!</v>
      </c>
      <c r="E34" s="284" t="e">
        <f>SUM(E32:E33)</f>
        <v>#REF!</v>
      </c>
      <c r="F34" s="285" t="e">
        <f>SUM(F32:F33)</f>
        <v>#REF!</v>
      </c>
      <c r="G34" s="284" t="e">
        <f>SUM(G32:G33)</f>
        <v>#REF!</v>
      </c>
      <c r="H34" s="285" t="e">
        <f>SUM(H32:H33)</f>
        <v>#REF!</v>
      </c>
      <c r="I34" s="286">
        <f>I33+I32</f>
        <v>3826997.35</v>
      </c>
    </row>
    <row r="35" spans="1:9" ht="17.100000000000001" customHeight="1" thickTop="1">
      <c r="B35" s="14" t="s">
        <v>9</v>
      </c>
    </row>
    <row r="36" spans="1:9" ht="17.100000000000001" customHeight="1">
      <c r="D36" s="9"/>
      <c r="E36" s="9"/>
      <c r="F36" s="9"/>
      <c r="G36" s="9"/>
      <c r="H36" s="9"/>
      <c r="I36" s="9"/>
    </row>
    <row r="37" spans="1:9" ht="34.5" customHeight="1">
      <c r="B37" s="539" t="e">
        <f ca="1">"Słownie =  "&amp;[1]!slownie(I34)</f>
        <v>#NAME?</v>
      </c>
      <c r="C37" s="539"/>
      <c r="D37" s="539"/>
      <c r="E37" s="539"/>
      <c r="F37" s="539"/>
      <c r="G37" s="539"/>
      <c r="H37" s="539"/>
      <c r="I37" s="539"/>
    </row>
    <row r="38" spans="1:9" ht="6.75" customHeight="1"/>
    <row r="39" spans="1:9" ht="17.100000000000001" customHeight="1">
      <c r="C39" s="41" t="s">
        <v>10</v>
      </c>
      <c r="H39" s="3" t="s">
        <v>10</v>
      </c>
    </row>
    <row r="40" spans="1:9" ht="50.25" customHeight="1">
      <c r="C40" s="3"/>
      <c r="F40" s="3"/>
      <c r="H40" s="3"/>
    </row>
    <row r="41" spans="1:9" ht="17.100000000000001" customHeight="1">
      <c r="C41" s="226" t="s">
        <v>122</v>
      </c>
      <c r="F41" s="3"/>
      <c r="H41" s="3" t="s">
        <v>26</v>
      </c>
    </row>
    <row r="42" spans="1:9" ht="17.100000000000001" customHeight="1">
      <c r="C42" s="3"/>
      <c r="F42" s="3"/>
      <c r="H42" s="3" t="s">
        <v>25</v>
      </c>
    </row>
    <row r="43" spans="1:9" ht="17.100000000000001" customHeight="1">
      <c r="C43" s="3"/>
    </row>
    <row r="46" spans="1:9" ht="14.25">
      <c r="F46" s="3"/>
    </row>
  </sheetData>
  <mergeCells count="12">
    <mergeCell ref="A1:I1"/>
    <mergeCell ref="A2:I2"/>
    <mergeCell ref="A7:I7"/>
    <mergeCell ref="A23:I23"/>
    <mergeCell ref="B37:I37"/>
    <mergeCell ref="A15:I15"/>
    <mergeCell ref="A6:I6"/>
    <mergeCell ref="B32:C32"/>
    <mergeCell ref="B33:C33"/>
    <mergeCell ref="B34:C34"/>
    <mergeCell ref="A24:I24"/>
    <mergeCell ref="A28:I28"/>
  </mergeCells>
  <pageMargins left="0.78740157480314965" right="0.19685039370078741" top="0.23622047244094491" bottom="0.23622047244094491" header="0.19685039370078741" footer="0.19685039370078741"/>
  <pageSetup paperSize="257" scale="90" orientation="portrait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6CD19-1488-4D7A-B7CC-B578E35EB4F3}">
  <dimension ref="A1:Q87"/>
  <sheetViews>
    <sheetView showZeros="0" zoomScaleNormal="100" zoomScalePageLayoutView="130" workbookViewId="0">
      <selection activeCell="G15" sqref="G15"/>
    </sheetView>
  </sheetViews>
  <sheetFormatPr defaultRowHeight="12.75"/>
  <cols>
    <col min="1" max="1" width="4.7109375" style="482" customWidth="1"/>
    <col min="2" max="2" width="14.42578125" style="483" customWidth="1"/>
    <col min="3" max="3" width="57.85546875" style="483" customWidth="1"/>
    <col min="4" max="4" width="9.42578125" style="484" customWidth="1"/>
    <col min="5" max="5" width="9.7109375" style="484" customWidth="1"/>
    <col min="6" max="6" width="10.5703125" style="484" customWidth="1"/>
    <col min="7" max="7" width="14.28515625" style="485" customWidth="1"/>
    <col min="8" max="16384" width="9.140625" style="483"/>
  </cols>
  <sheetData>
    <row r="1" spans="1:17" s="126" customFormat="1" ht="25.5" customHeight="1">
      <c r="A1" s="564" t="s">
        <v>385</v>
      </c>
      <c r="B1" s="564"/>
      <c r="C1" s="564"/>
      <c r="D1" s="564"/>
      <c r="E1" s="564"/>
      <c r="F1" s="564"/>
      <c r="G1" s="564"/>
      <c r="H1" s="392"/>
      <c r="I1" s="392"/>
      <c r="J1" s="392"/>
      <c r="K1" s="392"/>
    </row>
    <row r="2" spans="1:17" s="126" customFormat="1" ht="54.95" customHeight="1">
      <c r="A2" s="565" t="s">
        <v>222</v>
      </c>
      <c r="B2" s="565"/>
      <c r="C2" s="565"/>
      <c r="D2" s="565"/>
      <c r="E2" s="565"/>
      <c r="F2" s="565"/>
      <c r="G2" s="565"/>
      <c r="H2" s="374"/>
      <c r="I2" s="374"/>
      <c r="J2" s="374"/>
      <c r="K2" s="374"/>
    </row>
    <row r="3" spans="1:17" s="126" customFormat="1" ht="24.95" customHeight="1" thickBot="1">
      <c r="A3" s="559" t="s">
        <v>105</v>
      </c>
      <c r="B3" s="559"/>
      <c r="C3" s="559"/>
      <c r="D3" s="559"/>
      <c r="E3" s="559"/>
      <c r="F3" s="559"/>
      <c r="G3" s="559"/>
      <c r="H3" s="559"/>
      <c r="I3" s="559"/>
      <c r="J3" s="573"/>
      <c r="K3" s="573"/>
    </row>
    <row r="4" spans="1:17" s="433" customFormat="1" ht="23.1" customHeight="1">
      <c r="A4" s="574" t="s">
        <v>1</v>
      </c>
      <c r="B4" s="577" t="s">
        <v>214</v>
      </c>
      <c r="C4" s="495" t="s">
        <v>366</v>
      </c>
      <c r="D4" s="576" t="s">
        <v>213</v>
      </c>
      <c r="E4" s="576"/>
      <c r="F4" s="496" t="s">
        <v>212</v>
      </c>
      <c r="G4" s="497" t="s">
        <v>211</v>
      </c>
    </row>
    <row r="5" spans="1:17" s="433" customFormat="1" ht="23.1" customHeight="1">
      <c r="A5" s="575"/>
      <c r="B5" s="578"/>
      <c r="C5" s="487" t="s">
        <v>365</v>
      </c>
      <c r="D5" s="488" t="s">
        <v>210</v>
      </c>
      <c r="E5" s="488" t="s">
        <v>209</v>
      </c>
      <c r="F5" s="489" t="s">
        <v>208</v>
      </c>
      <c r="G5" s="498" t="s">
        <v>207</v>
      </c>
    </row>
    <row r="6" spans="1:17" s="433" customFormat="1" ht="23.1" customHeight="1" thickBot="1">
      <c r="A6" s="499">
        <v>1</v>
      </c>
      <c r="B6" s="500">
        <v>2</v>
      </c>
      <c r="C6" s="500">
        <v>3</v>
      </c>
      <c r="D6" s="500">
        <v>4</v>
      </c>
      <c r="E6" s="500">
        <v>5</v>
      </c>
      <c r="F6" s="501">
        <v>6</v>
      </c>
      <c r="G6" s="502">
        <v>7</v>
      </c>
    </row>
    <row r="7" spans="1:17" s="433" customFormat="1" ht="26.25" thickBot="1">
      <c r="A7" s="506">
        <v>1</v>
      </c>
      <c r="B7" s="507" t="s">
        <v>206</v>
      </c>
      <c r="C7" s="508" t="s">
        <v>364</v>
      </c>
      <c r="D7" s="509"/>
      <c r="E7" s="509"/>
      <c r="F7" s="508"/>
      <c r="G7" s="510"/>
    </row>
    <row r="8" spans="1:17" s="486" customFormat="1" ht="20.100000000000001" customHeight="1" thickBot="1">
      <c r="A8" s="511" t="s">
        <v>363</v>
      </c>
      <c r="B8" s="585"/>
      <c r="C8" s="585" t="s">
        <v>362</v>
      </c>
      <c r="D8" s="512"/>
      <c r="E8" s="512"/>
      <c r="F8" s="585"/>
      <c r="G8" s="586"/>
    </row>
    <row r="9" spans="1:17" s="486" customFormat="1" ht="20.100000000000001" customHeight="1" thickBot="1">
      <c r="A9" s="511" t="s">
        <v>205</v>
      </c>
      <c r="B9" s="585"/>
      <c r="C9" s="585" t="s">
        <v>204</v>
      </c>
      <c r="D9" s="512"/>
      <c r="E9" s="512"/>
      <c r="F9" s="585"/>
      <c r="G9" s="586"/>
    </row>
    <row r="10" spans="1:17" s="486" customFormat="1" ht="51">
      <c r="A10" s="515">
        <v>1</v>
      </c>
      <c r="B10" s="516" t="s">
        <v>361</v>
      </c>
      <c r="C10" s="516" t="s">
        <v>322</v>
      </c>
      <c r="D10" s="517">
        <v>55.76</v>
      </c>
      <c r="E10" s="518" t="s">
        <v>367</v>
      </c>
      <c r="F10" s="518"/>
      <c r="G10" s="519">
        <f t="shared" ref="G10:G18" si="0">D10*F10</f>
        <v>0</v>
      </c>
      <c r="H10" s="513"/>
      <c r="J10" s="583"/>
      <c r="K10" s="583"/>
      <c r="L10" s="583"/>
      <c r="M10" s="580"/>
      <c r="N10" s="580"/>
      <c r="O10" s="580"/>
      <c r="P10" s="580"/>
      <c r="Q10" s="490"/>
    </row>
    <row r="11" spans="1:17" s="486" customFormat="1" ht="51">
      <c r="A11" s="520">
        <v>2</v>
      </c>
      <c r="B11" s="437" t="s">
        <v>360</v>
      </c>
      <c r="C11" s="437" t="s">
        <v>359</v>
      </c>
      <c r="D11" s="438">
        <v>55.76</v>
      </c>
      <c r="E11" s="436" t="s">
        <v>367</v>
      </c>
      <c r="F11" s="491"/>
      <c r="G11" s="521">
        <f t="shared" si="0"/>
        <v>0</v>
      </c>
      <c r="H11" s="514"/>
      <c r="J11" s="581"/>
      <c r="K11" s="581"/>
      <c r="L11" s="581"/>
      <c r="M11" s="582"/>
      <c r="N11" s="582"/>
      <c r="O11" s="582"/>
      <c r="P11" s="582"/>
      <c r="Q11" s="492"/>
    </row>
    <row r="12" spans="1:17" s="486" customFormat="1" ht="20.100000000000001" customHeight="1">
      <c r="A12" s="520">
        <v>3</v>
      </c>
      <c r="B12" s="437" t="s">
        <v>318</v>
      </c>
      <c r="C12" s="437" t="s">
        <v>319</v>
      </c>
      <c r="D12" s="438">
        <v>55.76</v>
      </c>
      <c r="E12" s="436" t="s">
        <v>367</v>
      </c>
      <c r="F12" s="493"/>
      <c r="G12" s="521">
        <f t="shared" si="0"/>
        <v>0</v>
      </c>
      <c r="H12" s="514"/>
      <c r="J12" s="581"/>
      <c r="K12" s="581"/>
      <c r="L12" s="581"/>
      <c r="M12" s="582"/>
      <c r="N12" s="582"/>
      <c r="O12" s="582"/>
      <c r="P12" s="582"/>
      <c r="Q12" s="492"/>
    </row>
    <row r="13" spans="1:17" s="486" customFormat="1" ht="30" customHeight="1">
      <c r="A13" s="520">
        <v>4</v>
      </c>
      <c r="B13" s="437" t="s">
        <v>355</v>
      </c>
      <c r="C13" s="437" t="s">
        <v>358</v>
      </c>
      <c r="D13" s="438">
        <v>20.399999999999999</v>
      </c>
      <c r="E13" s="436" t="s">
        <v>367</v>
      </c>
      <c r="F13" s="493"/>
      <c r="G13" s="521">
        <f t="shared" si="0"/>
        <v>0</v>
      </c>
      <c r="H13" s="514"/>
      <c r="J13" s="481"/>
      <c r="K13" s="481"/>
      <c r="L13" s="481"/>
      <c r="M13" s="492"/>
      <c r="N13" s="492"/>
      <c r="O13" s="492"/>
      <c r="P13" s="492"/>
      <c r="Q13" s="492"/>
    </row>
    <row r="14" spans="1:17" s="486" customFormat="1" ht="38.25">
      <c r="A14" s="520">
        <v>5</v>
      </c>
      <c r="B14" s="437" t="s">
        <v>357</v>
      </c>
      <c r="C14" s="437" t="s">
        <v>356</v>
      </c>
      <c r="D14" s="438">
        <v>198</v>
      </c>
      <c r="E14" s="436" t="s">
        <v>368</v>
      </c>
      <c r="F14" s="493"/>
      <c r="G14" s="521">
        <f t="shared" si="0"/>
        <v>0</v>
      </c>
      <c r="H14" s="514"/>
      <c r="J14" s="481"/>
      <c r="K14" s="481"/>
      <c r="L14" s="481"/>
      <c r="M14" s="492"/>
      <c r="N14" s="492"/>
      <c r="O14" s="492"/>
      <c r="P14" s="492"/>
      <c r="Q14" s="492"/>
    </row>
    <row r="15" spans="1:17" s="486" customFormat="1" ht="30" customHeight="1">
      <c r="A15" s="520">
        <v>6</v>
      </c>
      <c r="B15" s="437" t="s">
        <v>355</v>
      </c>
      <c r="C15" s="437" t="s">
        <v>354</v>
      </c>
      <c r="D15" s="438">
        <v>1.36</v>
      </c>
      <c r="E15" s="436" t="s">
        <v>367</v>
      </c>
      <c r="F15" s="491"/>
      <c r="G15" s="521">
        <f t="shared" si="0"/>
        <v>0</v>
      </c>
      <c r="H15" s="514"/>
      <c r="J15" s="481"/>
      <c r="K15" s="481"/>
      <c r="L15" s="481"/>
      <c r="M15" s="492"/>
      <c r="N15" s="492"/>
      <c r="O15" s="492"/>
      <c r="P15" s="492"/>
      <c r="Q15" s="492"/>
    </row>
    <row r="16" spans="1:17" s="486" customFormat="1" ht="51">
      <c r="A16" s="520">
        <v>7</v>
      </c>
      <c r="B16" s="437" t="s">
        <v>353</v>
      </c>
      <c r="C16" s="437" t="s">
        <v>352</v>
      </c>
      <c r="D16" s="438">
        <v>14.15</v>
      </c>
      <c r="E16" s="436" t="s">
        <v>367</v>
      </c>
      <c r="F16" s="491"/>
      <c r="G16" s="521">
        <f t="shared" si="0"/>
        <v>0</v>
      </c>
      <c r="H16" s="514"/>
      <c r="J16" s="481"/>
      <c r="K16" s="481"/>
      <c r="L16" s="481"/>
      <c r="M16" s="492"/>
      <c r="N16" s="492"/>
      <c r="O16" s="492"/>
      <c r="P16" s="492"/>
      <c r="Q16" s="492"/>
    </row>
    <row r="17" spans="1:17" s="486" customFormat="1" ht="63.75">
      <c r="A17" s="520">
        <v>8</v>
      </c>
      <c r="B17" s="437" t="s">
        <v>351</v>
      </c>
      <c r="C17" s="437" t="s">
        <v>350</v>
      </c>
      <c r="D17" s="438">
        <v>8.84</v>
      </c>
      <c r="E17" s="436" t="s">
        <v>367</v>
      </c>
      <c r="F17" s="491"/>
      <c r="G17" s="521">
        <f t="shared" si="0"/>
        <v>0</v>
      </c>
      <c r="H17" s="514"/>
      <c r="J17" s="481"/>
      <c r="K17" s="481"/>
      <c r="L17" s="481"/>
      <c r="M17" s="492"/>
      <c r="N17" s="492"/>
      <c r="O17" s="492"/>
      <c r="P17" s="492"/>
      <c r="Q17" s="492"/>
    </row>
    <row r="18" spans="1:17" s="486" customFormat="1" ht="30" customHeight="1">
      <c r="A18" s="522">
        <v>9</v>
      </c>
      <c r="B18" s="437" t="s">
        <v>349</v>
      </c>
      <c r="C18" s="437" t="s">
        <v>348</v>
      </c>
      <c r="D18" s="438">
        <v>1</v>
      </c>
      <c r="E18" s="436" t="s">
        <v>90</v>
      </c>
      <c r="F18" s="493"/>
      <c r="G18" s="521">
        <f t="shared" si="0"/>
        <v>0</v>
      </c>
      <c r="H18" s="514"/>
      <c r="J18" s="481"/>
      <c r="K18" s="481"/>
      <c r="L18" s="481"/>
      <c r="M18" s="492"/>
      <c r="N18" s="492"/>
      <c r="O18" s="492"/>
      <c r="P18" s="492"/>
      <c r="Q18" s="492"/>
    </row>
    <row r="19" spans="1:17" s="486" customFormat="1" ht="20.100000000000001" customHeight="1" thickBot="1">
      <c r="A19" s="584" t="s">
        <v>203</v>
      </c>
      <c r="B19" s="572"/>
      <c r="C19" s="572"/>
      <c r="D19" s="572"/>
      <c r="E19" s="572"/>
      <c r="F19" s="572"/>
      <c r="G19" s="602">
        <f>SUM(G10:G18)</f>
        <v>0</v>
      </c>
      <c r="H19" s="439"/>
      <c r="I19" s="439"/>
      <c r="J19" s="439"/>
      <c r="K19" s="439"/>
      <c r="L19" s="439"/>
      <c r="M19" s="439"/>
      <c r="N19" s="439"/>
      <c r="O19" s="439"/>
      <c r="P19" s="439"/>
      <c r="Q19" s="440"/>
    </row>
    <row r="20" spans="1:17" s="486" customFormat="1" ht="20.100000000000001" customHeight="1" thickBot="1">
      <c r="A20" s="511" t="s">
        <v>202</v>
      </c>
      <c r="B20" s="585"/>
      <c r="C20" s="585" t="s">
        <v>201</v>
      </c>
      <c r="D20" s="512"/>
      <c r="E20" s="512"/>
      <c r="F20" s="585"/>
      <c r="G20" s="586"/>
      <c r="H20" s="439"/>
      <c r="I20" s="439"/>
      <c r="J20" s="439"/>
      <c r="K20" s="439"/>
      <c r="L20" s="439"/>
      <c r="M20" s="439"/>
      <c r="N20" s="439"/>
      <c r="O20" s="439"/>
      <c r="P20" s="439"/>
      <c r="Q20" s="440"/>
    </row>
    <row r="21" spans="1:17" s="486" customFormat="1" ht="51">
      <c r="A21" s="525">
        <v>10</v>
      </c>
      <c r="B21" s="503" t="s">
        <v>318</v>
      </c>
      <c r="C21" s="503" t="s">
        <v>347</v>
      </c>
      <c r="D21" s="504">
        <v>1</v>
      </c>
      <c r="E21" s="505" t="s">
        <v>33</v>
      </c>
      <c r="F21" s="505"/>
      <c r="G21" s="526">
        <f>D21*F21</f>
        <v>0</v>
      </c>
      <c r="H21" s="362"/>
      <c r="I21" s="362"/>
      <c r="J21" s="362"/>
      <c r="K21" s="362"/>
      <c r="L21" s="362"/>
      <c r="M21" s="362"/>
      <c r="N21" s="362"/>
      <c r="O21" s="362"/>
      <c r="P21" s="362"/>
      <c r="Q21" s="441"/>
    </row>
    <row r="22" spans="1:17" s="486" customFormat="1" ht="76.5">
      <c r="A22" s="522">
        <v>11</v>
      </c>
      <c r="B22" s="437" t="s">
        <v>346</v>
      </c>
      <c r="C22" s="437" t="s">
        <v>345</v>
      </c>
      <c r="D22" s="438">
        <v>1</v>
      </c>
      <c r="E22" s="436" t="s">
        <v>33</v>
      </c>
      <c r="F22" s="491"/>
      <c r="G22" s="521">
        <f>D22*F22</f>
        <v>0</v>
      </c>
      <c r="H22" s="362"/>
      <c r="I22" s="362"/>
      <c r="J22" s="362"/>
      <c r="K22" s="362"/>
      <c r="L22" s="362"/>
      <c r="M22" s="362"/>
      <c r="N22" s="362"/>
      <c r="O22" s="362"/>
      <c r="P22" s="362"/>
      <c r="Q22" s="441"/>
    </row>
    <row r="23" spans="1:17" s="486" customFormat="1" ht="20.100000000000001" customHeight="1">
      <c r="A23" s="587" t="s">
        <v>200</v>
      </c>
      <c r="B23" s="571"/>
      <c r="C23" s="571"/>
      <c r="D23" s="571"/>
      <c r="E23" s="571"/>
      <c r="F23" s="571"/>
      <c r="G23" s="601">
        <f>SUM(G21:G22)</f>
        <v>0</v>
      </c>
      <c r="H23" s="439"/>
      <c r="I23" s="439"/>
      <c r="J23" s="439"/>
      <c r="K23" s="439"/>
      <c r="L23" s="439"/>
      <c r="M23" s="439"/>
      <c r="N23" s="439"/>
      <c r="O23" s="439"/>
      <c r="P23" s="439"/>
      <c r="Q23" s="440"/>
    </row>
    <row r="24" spans="1:17" s="486" customFormat="1" ht="20.100000000000001" customHeight="1">
      <c r="A24" s="523" t="s">
        <v>344</v>
      </c>
      <c r="B24" s="480" t="s">
        <v>199</v>
      </c>
      <c r="C24" s="571" t="s">
        <v>343</v>
      </c>
      <c r="D24" s="571"/>
      <c r="E24" s="571"/>
      <c r="F24" s="571"/>
      <c r="G24" s="579"/>
      <c r="H24" s="439"/>
      <c r="I24" s="439"/>
      <c r="J24" s="439"/>
      <c r="K24" s="439"/>
      <c r="L24" s="439"/>
      <c r="M24" s="439"/>
      <c r="N24" s="439"/>
      <c r="O24" s="439"/>
      <c r="P24" s="439"/>
      <c r="Q24" s="439"/>
    </row>
    <row r="25" spans="1:17" s="486" customFormat="1" ht="76.5">
      <c r="A25" s="524">
        <v>12</v>
      </c>
      <c r="B25" s="442" t="s">
        <v>318</v>
      </c>
      <c r="C25" s="442" t="s">
        <v>342</v>
      </c>
      <c r="D25" s="443">
        <v>68</v>
      </c>
      <c r="E25" s="444" t="s">
        <v>81</v>
      </c>
      <c r="F25" s="444"/>
      <c r="G25" s="521">
        <f>D25*F25</f>
        <v>0</v>
      </c>
      <c r="H25" s="362"/>
      <c r="I25" s="362"/>
      <c r="J25" s="362"/>
      <c r="K25" s="362"/>
      <c r="L25" s="362"/>
      <c r="M25" s="362"/>
      <c r="N25" s="362"/>
      <c r="O25" s="362"/>
      <c r="P25" s="362"/>
      <c r="Q25" s="362"/>
    </row>
    <row r="26" spans="1:17" s="486" customFormat="1" ht="51">
      <c r="A26" s="524">
        <v>13</v>
      </c>
      <c r="B26" s="442" t="s">
        <v>341</v>
      </c>
      <c r="C26" s="442" t="s">
        <v>340</v>
      </c>
      <c r="D26" s="494">
        <v>68</v>
      </c>
      <c r="E26" s="444" t="s">
        <v>81</v>
      </c>
      <c r="F26" s="444"/>
      <c r="G26" s="521">
        <f>D26*F26</f>
        <v>0</v>
      </c>
      <c r="H26" s="362"/>
      <c r="I26" s="362"/>
      <c r="J26" s="362"/>
      <c r="K26" s="362"/>
      <c r="L26" s="362"/>
      <c r="M26" s="362"/>
      <c r="N26" s="362"/>
      <c r="O26" s="362"/>
      <c r="P26" s="362"/>
      <c r="Q26" s="362"/>
    </row>
    <row r="27" spans="1:17" s="486" customFormat="1" ht="20.100000000000001" customHeight="1">
      <c r="A27" s="588" t="s">
        <v>339</v>
      </c>
      <c r="B27" s="589"/>
      <c r="C27" s="589"/>
      <c r="D27" s="589"/>
      <c r="E27" s="589"/>
      <c r="F27" s="589"/>
      <c r="G27" s="602">
        <f>SUM(G25:G26)</f>
        <v>0</v>
      </c>
      <c r="H27" s="439"/>
      <c r="I27" s="439"/>
      <c r="K27" s="439"/>
      <c r="L27" s="439"/>
      <c r="N27" s="439"/>
      <c r="O27" s="439"/>
      <c r="P27" s="439"/>
      <c r="Q27" s="440"/>
    </row>
    <row r="28" spans="1:17" s="486" customFormat="1" ht="20.100000000000001" customHeight="1" thickBot="1">
      <c r="A28" s="604" t="s">
        <v>378</v>
      </c>
      <c r="B28" s="605"/>
      <c r="C28" s="605"/>
      <c r="D28" s="605"/>
      <c r="E28" s="605"/>
      <c r="F28" s="605"/>
      <c r="G28" s="603">
        <f>G27+G23+G19</f>
        <v>0</v>
      </c>
      <c r="H28" s="439"/>
      <c r="I28" s="439"/>
      <c r="K28" s="439"/>
      <c r="L28" s="439"/>
      <c r="N28" s="439"/>
      <c r="O28" s="439"/>
      <c r="P28" s="439"/>
      <c r="Q28" s="440"/>
    </row>
    <row r="29" spans="1:17" s="486" customFormat="1" ht="20.100000000000001" customHeight="1" thickBot="1">
      <c r="A29" s="511" t="s">
        <v>338</v>
      </c>
      <c r="B29" s="585"/>
      <c r="C29" s="585" t="s">
        <v>337</v>
      </c>
      <c r="D29" s="512"/>
      <c r="E29" s="512"/>
      <c r="F29" s="585"/>
      <c r="G29" s="586"/>
      <c r="H29" s="439"/>
      <c r="I29" s="439"/>
      <c r="K29" s="439"/>
      <c r="L29" s="439"/>
      <c r="N29" s="439"/>
      <c r="O29" s="439"/>
      <c r="P29" s="439"/>
      <c r="Q29" s="440"/>
    </row>
    <row r="30" spans="1:17" s="486" customFormat="1" ht="20.100000000000001" customHeight="1" thickBot="1">
      <c r="A30" s="511" t="s">
        <v>336</v>
      </c>
      <c r="B30" s="585"/>
      <c r="C30" s="585" t="s">
        <v>324</v>
      </c>
      <c r="D30" s="512"/>
      <c r="E30" s="512"/>
      <c r="F30" s="585"/>
      <c r="G30" s="586"/>
      <c r="H30" s="439"/>
      <c r="I30" s="439"/>
      <c r="K30" s="439"/>
      <c r="L30" s="439"/>
      <c r="N30" s="439"/>
      <c r="O30" s="439"/>
      <c r="P30" s="439"/>
      <c r="Q30" s="440"/>
    </row>
    <row r="31" spans="1:17" s="486" customFormat="1" ht="25.5">
      <c r="A31" s="525">
        <v>14</v>
      </c>
      <c r="B31" s="527" t="s">
        <v>335</v>
      </c>
      <c r="C31" s="503" t="s">
        <v>334</v>
      </c>
      <c r="D31" s="504">
        <v>211</v>
      </c>
      <c r="E31" s="505" t="s">
        <v>368</v>
      </c>
      <c r="F31" s="505"/>
      <c r="G31" s="526">
        <f t="shared" ref="G31:G40" si="1">D31*F31</f>
        <v>0</v>
      </c>
      <c r="H31" s="362"/>
      <c r="I31" s="362"/>
      <c r="K31" s="362"/>
      <c r="L31" s="362"/>
      <c r="N31" s="362"/>
      <c r="O31" s="362"/>
      <c r="P31" s="362"/>
      <c r="Q31" s="441"/>
    </row>
    <row r="32" spans="1:17" s="486" customFormat="1" ht="51">
      <c r="A32" s="522">
        <v>15</v>
      </c>
      <c r="B32" s="437" t="s">
        <v>323</v>
      </c>
      <c r="C32" s="437" t="s">
        <v>322</v>
      </c>
      <c r="D32" s="438">
        <v>212.35</v>
      </c>
      <c r="E32" s="436" t="s">
        <v>367</v>
      </c>
      <c r="F32" s="491"/>
      <c r="G32" s="521">
        <f t="shared" si="1"/>
        <v>0</v>
      </c>
      <c r="H32" s="362"/>
      <c r="I32" s="362"/>
      <c r="K32" s="362"/>
      <c r="L32" s="362"/>
      <c r="N32" s="362"/>
      <c r="O32" s="362"/>
      <c r="P32" s="362"/>
      <c r="Q32" s="441"/>
    </row>
    <row r="33" spans="1:17" s="486" customFormat="1" ht="51">
      <c r="A33" s="522">
        <v>16</v>
      </c>
      <c r="B33" s="437" t="s">
        <v>321</v>
      </c>
      <c r="C33" s="437" t="s">
        <v>320</v>
      </c>
      <c r="D33" s="438">
        <v>212.35</v>
      </c>
      <c r="E33" s="436" t="s">
        <v>367</v>
      </c>
      <c r="F33" s="491"/>
      <c r="G33" s="521">
        <f t="shared" si="1"/>
        <v>0</v>
      </c>
      <c r="H33" s="362"/>
      <c r="I33" s="362"/>
      <c r="K33" s="362"/>
      <c r="L33" s="362"/>
      <c r="N33" s="362"/>
      <c r="O33" s="362"/>
      <c r="P33" s="362"/>
      <c r="Q33" s="441"/>
    </row>
    <row r="34" spans="1:17" s="486" customFormat="1" ht="14.25">
      <c r="A34" s="520">
        <v>17</v>
      </c>
      <c r="B34" s="437" t="s">
        <v>318</v>
      </c>
      <c r="C34" s="437" t="s">
        <v>319</v>
      </c>
      <c r="D34" s="438">
        <v>212.35</v>
      </c>
      <c r="E34" s="436" t="s">
        <v>367</v>
      </c>
      <c r="F34" s="493"/>
      <c r="G34" s="521">
        <f t="shared" si="1"/>
        <v>0</v>
      </c>
      <c r="H34" s="362"/>
      <c r="I34" s="362"/>
      <c r="K34" s="362"/>
      <c r="L34" s="362"/>
      <c r="N34" s="362"/>
      <c r="O34" s="362"/>
      <c r="P34" s="362"/>
      <c r="Q34" s="441"/>
    </row>
    <row r="35" spans="1:17" s="486" customFormat="1" ht="25.5">
      <c r="A35" s="522">
        <v>18</v>
      </c>
      <c r="B35" s="437" t="s">
        <v>333</v>
      </c>
      <c r="C35" s="437" t="s">
        <v>332</v>
      </c>
      <c r="D35" s="438">
        <v>295</v>
      </c>
      <c r="E35" s="436" t="s">
        <v>368</v>
      </c>
      <c r="F35" s="493"/>
      <c r="G35" s="521">
        <f t="shared" si="1"/>
        <v>0</v>
      </c>
      <c r="H35" s="362"/>
      <c r="I35" s="362"/>
      <c r="K35" s="362"/>
      <c r="L35" s="362"/>
      <c r="N35" s="362"/>
      <c r="O35" s="362"/>
      <c r="P35" s="362"/>
      <c r="Q35" s="441"/>
    </row>
    <row r="36" spans="1:17" s="486" customFormat="1" ht="25.5">
      <c r="A36" s="522">
        <v>19</v>
      </c>
      <c r="B36" s="437" t="s">
        <v>330</v>
      </c>
      <c r="C36" s="437" t="s">
        <v>331</v>
      </c>
      <c r="D36" s="438">
        <v>211</v>
      </c>
      <c r="E36" s="436" t="s">
        <v>368</v>
      </c>
      <c r="F36" s="493"/>
      <c r="G36" s="521">
        <f t="shared" si="1"/>
        <v>0</v>
      </c>
      <c r="H36" s="362"/>
      <c r="I36" s="362"/>
      <c r="K36" s="362"/>
      <c r="L36" s="362"/>
      <c r="N36" s="362"/>
      <c r="O36" s="362"/>
      <c r="P36" s="362"/>
      <c r="Q36" s="441"/>
    </row>
    <row r="37" spans="1:17" s="486" customFormat="1" ht="25.5">
      <c r="A37" s="522">
        <v>20</v>
      </c>
      <c r="B37" s="437" t="s">
        <v>330</v>
      </c>
      <c r="C37" s="437" t="s">
        <v>329</v>
      </c>
      <c r="D37" s="438">
        <v>84</v>
      </c>
      <c r="E37" s="436" t="s">
        <v>368</v>
      </c>
      <c r="F37" s="493"/>
      <c r="G37" s="521">
        <f t="shared" si="1"/>
        <v>0</v>
      </c>
      <c r="H37" s="362"/>
      <c r="I37" s="362"/>
      <c r="K37" s="362"/>
      <c r="L37" s="362"/>
      <c r="N37" s="362"/>
      <c r="O37" s="362"/>
      <c r="P37" s="362"/>
      <c r="Q37" s="441"/>
    </row>
    <row r="38" spans="1:17" s="486" customFormat="1" ht="25.5">
      <c r="A38" s="522">
        <v>21</v>
      </c>
      <c r="B38" s="442" t="s">
        <v>315</v>
      </c>
      <c r="C38" s="437" t="s">
        <v>316</v>
      </c>
      <c r="D38" s="438">
        <v>31.62</v>
      </c>
      <c r="E38" s="436" t="s">
        <v>367</v>
      </c>
      <c r="F38" s="491"/>
      <c r="G38" s="521">
        <f t="shared" si="1"/>
        <v>0</v>
      </c>
      <c r="H38" s="362"/>
      <c r="I38" s="362"/>
      <c r="K38" s="362"/>
      <c r="L38" s="362"/>
      <c r="N38" s="362"/>
      <c r="O38" s="362"/>
      <c r="P38" s="362"/>
      <c r="Q38" s="441"/>
    </row>
    <row r="39" spans="1:17" s="486" customFormat="1" ht="25.5">
      <c r="A39" s="522">
        <v>22</v>
      </c>
      <c r="B39" s="442" t="s">
        <v>315</v>
      </c>
      <c r="C39" s="434" t="s">
        <v>328</v>
      </c>
      <c r="D39" s="435">
        <v>120.16</v>
      </c>
      <c r="E39" s="436" t="s">
        <v>367</v>
      </c>
      <c r="F39" s="436"/>
      <c r="G39" s="521">
        <f t="shared" si="1"/>
        <v>0</v>
      </c>
      <c r="H39" s="362"/>
      <c r="I39" s="362"/>
      <c r="K39" s="362"/>
      <c r="L39" s="362"/>
      <c r="N39" s="362"/>
      <c r="O39" s="362"/>
      <c r="P39" s="362"/>
      <c r="Q39" s="441"/>
    </row>
    <row r="40" spans="1:17" s="486" customFormat="1" ht="38.25">
      <c r="A40" s="522">
        <v>23</v>
      </c>
      <c r="B40" s="442" t="s">
        <v>312</v>
      </c>
      <c r="C40" s="437" t="s">
        <v>311</v>
      </c>
      <c r="D40" s="438">
        <v>400.52</v>
      </c>
      <c r="E40" s="436" t="s">
        <v>368</v>
      </c>
      <c r="F40" s="491"/>
      <c r="G40" s="521">
        <f t="shared" si="1"/>
        <v>0</v>
      </c>
      <c r="H40" s="362"/>
      <c r="I40" s="362"/>
      <c r="K40" s="362"/>
      <c r="L40" s="362"/>
      <c r="N40" s="362"/>
      <c r="O40" s="362"/>
      <c r="P40" s="362"/>
      <c r="Q40" s="441"/>
    </row>
    <row r="41" spans="1:17" s="486" customFormat="1" ht="20.100000000000001" customHeight="1" thickBot="1">
      <c r="A41" s="584" t="s">
        <v>203</v>
      </c>
      <c r="B41" s="572"/>
      <c r="C41" s="572"/>
      <c r="D41" s="572"/>
      <c r="E41" s="572"/>
      <c r="F41" s="572"/>
      <c r="G41" s="600">
        <f>SUM(G31:G40)</f>
        <v>0</v>
      </c>
      <c r="H41" s="439"/>
      <c r="I41" s="439"/>
      <c r="K41" s="439"/>
      <c r="L41" s="439"/>
      <c r="N41" s="439"/>
      <c r="O41" s="439"/>
      <c r="P41" s="439"/>
      <c r="Q41" s="440"/>
    </row>
    <row r="42" spans="1:17" s="486" customFormat="1" ht="20.100000000000001" customHeight="1" thickBot="1">
      <c r="A42" s="511" t="s">
        <v>327</v>
      </c>
      <c r="B42" s="585"/>
      <c r="C42" s="585" t="s">
        <v>326</v>
      </c>
      <c r="D42" s="512"/>
      <c r="E42" s="512"/>
      <c r="F42" s="585"/>
      <c r="G42" s="586"/>
      <c r="H42" s="439"/>
      <c r="I42" s="439"/>
      <c r="K42" s="439"/>
      <c r="L42" s="439"/>
      <c r="N42" s="439"/>
      <c r="O42" s="439"/>
      <c r="P42" s="439"/>
      <c r="Q42" s="440"/>
    </row>
    <row r="43" spans="1:17" s="486" customFormat="1" ht="20.100000000000001" customHeight="1" thickBot="1">
      <c r="A43" s="511" t="s">
        <v>325</v>
      </c>
      <c r="B43" s="585"/>
      <c r="C43" s="585" t="s">
        <v>324</v>
      </c>
      <c r="D43" s="512"/>
      <c r="E43" s="512"/>
      <c r="F43" s="585"/>
      <c r="G43" s="586"/>
      <c r="H43" s="439"/>
      <c r="I43" s="439"/>
      <c r="K43" s="439"/>
      <c r="L43" s="439"/>
      <c r="N43" s="439"/>
      <c r="O43" s="439"/>
      <c r="P43" s="439"/>
      <c r="Q43" s="440"/>
    </row>
    <row r="44" spans="1:17" s="486" customFormat="1" ht="51">
      <c r="A44" s="525">
        <v>24</v>
      </c>
      <c r="B44" s="527" t="s">
        <v>323</v>
      </c>
      <c r="C44" s="527" t="s">
        <v>322</v>
      </c>
      <c r="D44" s="528">
        <v>42.9</v>
      </c>
      <c r="E44" s="505" t="s">
        <v>367</v>
      </c>
      <c r="F44" s="529"/>
      <c r="G44" s="526">
        <f>(D44*F44)</f>
        <v>0</v>
      </c>
      <c r="H44" s="362"/>
      <c r="I44" s="362"/>
      <c r="K44" s="362"/>
      <c r="L44" s="362"/>
      <c r="N44" s="362"/>
      <c r="O44" s="362"/>
      <c r="P44" s="362"/>
      <c r="Q44" s="441"/>
    </row>
    <row r="45" spans="1:17" s="486" customFormat="1" ht="51">
      <c r="A45" s="522">
        <v>25</v>
      </c>
      <c r="B45" s="437" t="s">
        <v>321</v>
      </c>
      <c r="C45" s="437" t="s">
        <v>320</v>
      </c>
      <c r="D45" s="438">
        <v>42.9</v>
      </c>
      <c r="E45" s="436" t="s">
        <v>367</v>
      </c>
      <c r="F45" s="491"/>
      <c r="G45" s="521">
        <f>(D45*F45)</f>
        <v>0</v>
      </c>
      <c r="H45" s="362"/>
      <c r="I45" s="362"/>
      <c r="K45" s="362"/>
      <c r="L45" s="362"/>
      <c r="N45" s="362"/>
      <c r="O45" s="362"/>
      <c r="P45" s="362"/>
      <c r="Q45" s="441"/>
    </row>
    <row r="46" spans="1:17" s="486" customFormat="1" ht="14.25">
      <c r="A46" s="522">
        <v>26</v>
      </c>
      <c r="B46" s="437" t="s">
        <v>318</v>
      </c>
      <c r="C46" s="437" t="s">
        <v>319</v>
      </c>
      <c r="D46" s="438">
        <v>42.9</v>
      </c>
      <c r="E46" s="436" t="s">
        <v>367</v>
      </c>
      <c r="F46" s="493"/>
      <c r="G46" s="521">
        <f>(D46*F46)</f>
        <v>0</v>
      </c>
      <c r="H46" s="362"/>
      <c r="I46" s="362"/>
      <c r="K46" s="362"/>
      <c r="L46" s="362"/>
      <c r="N46" s="362"/>
      <c r="O46" s="362"/>
      <c r="P46" s="362"/>
      <c r="Q46" s="441"/>
    </row>
    <row r="47" spans="1:17" s="486" customFormat="1" ht="38.25">
      <c r="A47" s="522">
        <v>27</v>
      </c>
      <c r="B47" s="437" t="s">
        <v>318</v>
      </c>
      <c r="C47" s="437" t="s">
        <v>317</v>
      </c>
      <c r="D47" s="438">
        <v>40</v>
      </c>
      <c r="E47" s="436" t="s">
        <v>33</v>
      </c>
      <c r="F47" s="493"/>
      <c r="G47" s="521">
        <f>(D47*F47)</f>
        <v>0</v>
      </c>
      <c r="H47" s="362"/>
      <c r="I47" s="362"/>
      <c r="K47" s="362"/>
      <c r="L47" s="362"/>
      <c r="N47" s="362"/>
      <c r="O47" s="362"/>
      <c r="P47" s="362"/>
      <c r="Q47" s="441"/>
    </row>
    <row r="48" spans="1:17" s="486" customFormat="1" ht="25.5">
      <c r="A48" s="522">
        <v>28</v>
      </c>
      <c r="B48" s="442" t="s">
        <v>315</v>
      </c>
      <c r="C48" s="437" t="s">
        <v>316</v>
      </c>
      <c r="D48" s="438">
        <v>10.84</v>
      </c>
      <c r="E48" s="436" t="s">
        <v>367</v>
      </c>
      <c r="F48" s="491"/>
      <c r="G48" s="521">
        <f t="shared" ref="G48:G54" si="2">D48*F48</f>
        <v>0</v>
      </c>
      <c r="H48" s="362"/>
      <c r="I48" s="362"/>
      <c r="K48" s="362"/>
      <c r="L48" s="362"/>
      <c r="N48" s="362"/>
      <c r="O48" s="362"/>
      <c r="P48" s="362"/>
      <c r="Q48" s="441"/>
    </row>
    <row r="49" spans="1:17" s="486" customFormat="1" ht="25.5">
      <c r="A49" s="522">
        <v>29</v>
      </c>
      <c r="B49" s="442" t="s">
        <v>315</v>
      </c>
      <c r="C49" s="434" t="s">
        <v>314</v>
      </c>
      <c r="D49" s="435">
        <v>10.84</v>
      </c>
      <c r="E49" s="436" t="s">
        <v>367</v>
      </c>
      <c r="F49" s="436"/>
      <c r="G49" s="521">
        <f t="shared" si="2"/>
        <v>0</v>
      </c>
      <c r="H49" s="362"/>
      <c r="I49" s="362"/>
      <c r="K49" s="362"/>
      <c r="L49" s="362"/>
      <c r="N49" s="362"/>
      <c r="O49" s="362"/>
      <c r="P49" s="362"/>
      <c r="Q49" s="441"/>
    </row>
    <row r="50" spans="1:17" s="486" customFormat="1" ht="25.5">
      <c r="A50" s="522">
        <v>30</v>
      </c>
      <c r="B50" s="442" t="s">
        <v>308</v>
      </c>
      <c r="C50" s="434" t="s">
        <v>313</v>
      </c>
      <c r="D50" s="435">
        <v>5.42</v>
      </c>
      <c r="E50" s="436" t="s">
        <v>367</v>
      </c>
      <c r="F50" s="436"/>
      <c r="G50" s="521">
        <f t="shared" si="2"/>
        <v>0</v>
      </c>
      <c r="H50" s="362"/>
      <c r="I50" s="362"/>
      <c r="K50" s="362"/>
      <c r="L50" s="362"/>
      <c r="N50" s="362"/>
      <c r="O50" s="362"/>
      <c r="P50" s="362"/>
      <c r="Q50" s="441"/>
    </row>
    <row r="51" spans="1:17" s="486" customFormat="1" ht="38.25">
      <c r="A51" s="522">
        <v>31</v>
      </c>
      <c r="B51" s="442" t="s">
        <v>312</v>
      </c>
      <c r="C51" s="437" t="s">
        <v>311</v>
      </c>
      <c r="D51" s="438">
        <v>107.96</v>
      </c>
      <c r="E51" s="436" t="s">
        <v>368</v>
      </c>
      <c r="F51" s="491"/>
      <c r="G51" s="521">
        <f t="shared" si="2"/>
        <v>0</v>
      </c>
      <c r="H51" s="362"/>
      <c r="I51" s="362"/>
      <c r="K51" s="362"/>
      <c r="L51" s="362"/>
      <c r="N51" s="362"/>
      <c r="O51" s="362"/>
      <c r="P51" s="362"/>
      <c r="Q51" s="441"/>
    </row>
    <row r="52" spans="1:17" s="486" customFormat="1" ht="38.25">
      <c r="A52" s="522">
        <v>32</v>
      </c>
      <c r="B52" s="442" t="s">
        <v>310</v>
      </c>
      <c r="C52" s="437" t="s">
        <v>309</v>
      </c>
      <c r="D52" s="438">
        <v>5</v>
      </c>
      <c r="E52" s="436" t="s">
        <v>369</v>
      </c>
      <c r="F52" s="491"/>
      <c r="G52" s="521">
        <f t="shared" si="2"/>
        <v>0</v>
      </c>
      <c r="H52" s="362"/>
      <c r="I52" s="362"/>
      <c r="K52" s="362"/>
      <c r="L52" s="362"/>
      <c r="N52" s="362"/>
      <c r="O52" s="362"/>
      <c r="P52" s="362"/>
      <c r="Q52" s="441"/>
    </row>
    <row r="53" spans="1:17" s="486" customFormat="1" ht="25.5">
      <c r="A53" s="522">
        <v>33</v>
      </c>
      <c r="B53" s="442" t="s">
        <v>308</v>
      </c>
      <c r="C53" s="434" t="s">
        <v>307</v>
      </c>
      <c r="D53" s="435">
        <v>0.9</v>
      </c>
      <c r="E53" s="436" t="s">
        <v>367</v>
      </c>
      <c r="F53" s="436"/>
      <c r="G53" s="521">
        <f t="shared" si="2"/>
        <v>0</v>
      </c>
      <c r="H53" s="362"/>
      <c r="I53" s="362"/>
      <c r="K53" s="362"/>
      <c r="L53" s="362"/>
      <c r="N53" s="362"/>
      <c r="O53" s="362"/>
      <c r="P53" s="362"/>
      <c r="Q53" s="441"/>
    </row>
    <row r="54" spans="1:17" s="486" customFormat="1" ht="25.5">
      <c r="A54" s="522">
        <v>34</v>
      </c>
      <c r="B54" s="442" t="s">
        <v>306</v>
      </c>
      <c r="C54" s="434" t="s">
        <v>305</v>
      </c>
      <c r="D54" s="435">
        <v>6</v>
      </c>
      <c r="E54" s="436" t="s">
        <v>81</v>
      </c>
      <c r="F54" s="436"/>
      <c r="G54" s="521">
        <f t="shared" si="2"/>
        <v>0</v>
      </c>
      <c r="H54" s="362"/>
      <c r="I54" s="362"/>
      <c r="K54" s="362"/>
      <c r="L54" s="362"/>
      <c r="N54" s="362"/>
      <c r="O54" s="362"/>
      <c r="P54" s="362"/>
      <c r="Q54" s="441"/>
    </row>
    <row r="55" spans="1:17" s="486" customFormat="1" ht="20.100000000000001" customHeight="1" thickBot="1">
      <c r="A55" s="584" t="s">
        <v>203</v>
      </c>
      <c r="B55" s="572"/>
      <c r="C55" s="572"/>
      <c r="D55" s="572"/>
      <c r="E55" s="572"/>
      <c r="F55" s="572"/>
      <c r="G55" s="600">
        <f>SUM(G44:G54)</f>
        <v>0</v>
      </c>
      <c r="H55" s="439"/>
      <c r="I55" s="439"/>
      <c r="K55" s="439"/>
      <c r="L55" s="439"/>
      <c r="N55" s="439"/>
      <c r="O55" s="439"/>
      <c r="P55" s="439"/>
      <c r="Q55" s="440"/>
    </row>
    <row r="56" spans="1:17" s="486" customFormat="1" ht="20.100000000000001" customHeight="1" thickBot="1">
      <c r="A56" s="511" t="s">
        <v>304</v>
      </c>
      <c r="B56" s="585"/>
      <c r="C56" s="585" t="s">
        <v>377</v>
      </c>
      <c r="D56" s="512"/>
      <c r="E56" s="512"/>
      <c r="F56" s="585"/>
      <c r="G56" s="586"/>
      <c r="H56" s="439"/>
      <c r="I56" s="439"/>
      <c r="K56" s="439"/>
      <c r="L56" s="439"/>
      <c r="N56" s="439"/>
      <c r="O56" s="439"/>
      <c r="P56" s="439"/>
      <c r="Q56" s="440"/>
    </row>
    <row r="57" spans="1:17" s="486" customFormat="1" ht="51">
      <c r="A57" s="525">
        <v>35</v>
      </c>
      <c r="B57" s="527" t="s">
        <v>301</v>
      </c>
      <c r="C57" s="527" t="s">
        <v>303</v>
      </c>
      <c r="D57" s="528">
        <v>79</v>
      </c>
      <c r="E57" s="505" t="s">
        <v>33</v>
      </c>
      <c r="F57" s="529"/>
      <c r="G57" s="526">
        <f>D57*F57</f>
        <v>0</v>
      </c>
      <c r="H57" s="362"/>
      <c r="I57" s="362"/>
      <c r="K57" s="362"/>
      <c r="L57" s="362"/>
      <c r="N57" s="362"/>
      <c r="O57" s="362"/>
      <c r="P57" s="362"/>
      <c r="Q57" s="441"/>
    </row>
    <row r="58" spans="1:17" s="486" customFormat="1" ht="38.25">
      <c r="A58" s="522">
        <v>36</v>
      </c>
      <c r="B58" s="437" t="s">
        <v>301</v>
      </c>
      <c r="C58" s="437" t="s">
        <v>302</v>
      </c>
      <c r="D58" s="438">
        <v>41</v>
      </c>
      <c r="E58" s="436" t="s">
        <v>33</v>
      </c>
      <c r="F58" s="491"/>
      <c r="G58" s="521">
        <f>D58*F58</f>
        <v>0</v>
      </c>
      <c r="H58" s="362"/>
      <c r="I58" s="362"/>
      <c r="K58" s="362"/>
      <c r="L58" s="362"/>
      <c r="N58" s="362"/>
      <c r="O58" s="362"/>
      <c r="P58" s="362"/>
      <c r="Q58" s="441"/>
    </row>
    <row r="59" spans="1:17" s="486" customFormat="1" ht="38.25">
      <c r="A59" s="522">
        <v>37</v>
      </c>
      <c r="B59" s="437" t="s">
        <v>301</v>
      </c>
      <c r="C59" s="437" t="s">
        <v>300</v>
      </c>
      <c r="D59" s="438">
        <v>42</v>
      </c>
      <c r="E59" s="436" t="s">
        <v>33</v>
      </c>
      <c r="F59" s="491"/>
      <c r="G59" s="521">
        <f>D59*F59</f>
        <v>0</v>
      </c>
      <c r="H59" s="362"/>
      <c r="I59" s="362"/>
      <c r="K59" s="362"/>
      <c r="L59" s="362"/>
      <c r="N59" s="362"/>
      <c r="O59" s="362"/>
      <c r="P59" s="362"/>
      <c r="Q59" s="441"/>
    </row>
    <row r="60" spans="1:17" s="486" customFormat="1" ht="25.5">
      <c r="A60" s="522">
        <v>38</v>
      </c>
      <c r="B60" s="437" t="s">
        <v>299</v>
      </c>
      <c r="C60" s="437" t="s">
        <v>298</v>
      </c>
      <c r="D60" s="438">
        <v>162</v>
      </c>
      <c r="E60" s="436" t="s">
        <v>33</v>
      </c>
      <c r="F60" s="491"/>
      <c r="G60" s="521">
        <f>D60*F60</f>
        <v>0</v>
      </c>
      <c r="H60" s="362"/>
      <c r="I60" s="362"/>
      <c r="K60" s="362"/>
      <c r="L60" s="362"/>
      <c r="N60" s="362"/>
      <c r="O60" s="362"/>
      <c r="P60" s="362"/>
      <c r="Q60" s="441"/>
    </row>
    <row r="61" spans="1:17" s="486" customFormat="1" ht="20.100000000000001" customHeight="1">
      <c r="A61" s="587" t="s">
        <v>384</v>
      </c>
      <c r="B61" s="571"/>
      <c r="C61" s="571"/>
      <c r="D61" s="571"/>
      <c r="E61" s="571"/>
      <c r="F61" s="571"/>
      <c r="G61" s="593">
        <f>SUM(G57,G58,G59,G60)</f>
        <v>0</v>
      </c>
      <c r="H61" s="439"/>
      <c r="I61" s="439"/>
      <c r="K61" s="439"/>
      <c r="L61" s="439"/>
      <c r="N61" s="439"/>
      <c r="O61" s="439"/>
      <c r="P61" s="439"/>
      <c r="Q61" s="440"/>
    </row>
    <row r="62" spans="1:17" ht="30" customHeight="1">
      <c r="A62" s="591" t="s">
        <v>198</v>
      </c>
      <c r="B62" s="592"/>
      <c r="C62" s="592"/>
      <c r="D62" s="592"/>
      <c r="E62" s="592"/>
      <c r="F62" s="592"/>
      <c r="G62" s="593">
        <f>SUM(G19+G23+G27+G41+G55+G61)</f>
        <v>0</v>
      </c>
    </row>
    <row r="63" spans="1:17" ht="30" customHeight="1">
      <c r="A63" s="594" t="s">
        <v>197</v>
      </c>
      <c r="B63" s="595"/>
      <c r="C63" s="595"/>
      <c r="D63" s="595"/>
      <c r="E63" s="595"/>
      <c r="F63" s="596"/>
      <c r="G63" s="593">
        <f>(G62*0.23)</f>
        <v>0</v>
      </c>
    </row>
    <row r="64" spans="1:17" ht="30" customHeight="1" thickBot="1">
      <c r="A64" s="597" t="s">
        <v>196</v>
      </c>
      <c r="B64" s="598"/>
      <c r="C64" s="598"/>
      <c r="D64" s="598"/>
      <c r="E64" s="598"/>
      <c r="F64" s="598"/>
      <c r="G64" s="599">
        <f>SUM(G62:G63)</f>
        <v>0</v>
      </c>
    </row>
    <row r="66" spans="2:7">
      <c r="B66" s="463" t="s">
        <v>9</v>
      </c>
      <c r="C66" s="429"/>
      <c r="D66" s="430"/>
      <c r="E66" s="430"/>
      <c r="F66" s="430"/>
      <c r="G66" s="431"/>
    </row>
    <row r="67" spans="2:7">
      <c r="B67" s="463"/>
      <c r="C67" s="429"/>
      <c r="D67" s="430"/>
      <c r="E67" s="430"/>
      <c r="F67" s="430"/>
      <c r="G67" s="431"/>
    </row>
    <row r="68" spans="2:7">
      <c r="B68" s="463"/>
      <c r="C68" s="429"/>
      <c r="D68" s="430"/>
      <c r="E68" s="430"/>
      <c r="F68" s="430"/>
      <c r="G68" s="431"/>
    </row>
    <row r="69" spans="2:7">
      <c r="B69" s="445"/>
      <c r="C69" s="429"/>
      <c r="D69" s="430"/>
      <c r="E69" s="430"/>
      <c r="F69" s="430"/>
      <c r="G69" s="431"/>
    </row>
    <row r="70" spans="2:7">
      <c r="B70" s="445"/>
      <c r="C70" s="429"/>
      <c r="D70" s="430"/>
      <c r="E70" s="430"/>
      <c r="F70" s="41" t="s">
        <v>10</v>
      </c>
      <c r="G70" s="431"/>
    </row>
    <row r="71" spans="2:7" ht="65.25" customHeight="1">
      <c r="B71" s="445"/>
      <c r="C71" s="429"/>
      <c r="D71" s="430"/>
      <c r="E71" s="430"/>
      <c r="F71" s="420"/>
      <c r="G71" s="431"/>
    </row>
    <row r="72" spans="2:7">
      <c r="B72" s="445"/>
      <c r="C72" s="429"/>
      <c r="D72" s="430"/>
      <c r="E72" s="430"/>
      <c r="F72" s="418"/>
      <c r="G72" s="431"/>
    </row>
    <row r="87" ht="13.5" thickBot="1"/>
  </sheetData>
  <mergeCells count="28">
    <mergeCell ref="O10:P10"/>
    <mergeCell ref="J12:L12"/>
    <mergeCell ref="M12:N12"/>
    <mergeCell ref="O12:P12"/>
    <mergeCell ref="A19:F19"/>
    <mergeCell ref="J10:L10"/>
    <mergeCell ref="M10:N10"/>
    <mergeCell ref="O11:P11"/>
    <mergeCell ref="J11:L11"/>
    <mergeCell ref="M11:N11"/>
    <mergeCell ref="A4:A5"/>
    <mergeCell ref="D4:E4"/>
    <mergeCell ref="B4:B5"/>
    <mergeCell ref="A64:F64"/>
    <mergeCell ref="A23:F23"/>
    <mergeCell ref="A62:F62"/>
    <mergeCell ref="A63:F63"/>
    <mergeCell ref="A61:F61"/>
    <mergeCell ref="A41:F41"/>
    <mergeCell ref="C24:G24"/>
    <mergeCell ref="A27:F27"/>
    <mergeCell ref="A55:F55"/>
    <mergeCell ref="A28:F28"/>
    <mergeCell ref="H3:I3"/>
    <mergeCell ref="J3:K3"/>
    <mergeCell ref="A1:G1"/>
    <mergeCell ref="A2:G2"/>
    <mergeCell ref="A3:G3"/>
  </mergeCells>
  <pageMargins left="0.51181102362204722" right="0.27559055118110237" top="0.35433070866141736" bottom="0.62992125984251968" header="0.31496062992125984" footer="0.31496062992125984"/>
  <pageSetup paperSize="9" scale="80" orientation="portrait" r:id="rId1"/>
  <headerFoot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</sheetPr>
  <dimension ref="A1:P296"/>
  <sheetViews>
    <sheetView showZeros="0" topLeftCell="A66" zoomScaleNormal="100" zoomScaleSheetLayoutView="110" workbookViewId="0">
      <selection activeCell="B49" sqref="B49"/>
    </sheetView>
  </sheetViews>
  <sheetFormatPr defaultRowHeight="12.75"/>
  <cols>
    <col min="1" max="1" width="4.7109375" style="10" customWidth="1"/>
    <col min="2" max="2" width="13.140625" style="10" customWidth="1"/>
    <col min="3" max="3" width="57.85546875" style="11" customWidth="1"/>
    <col min="4" max="4" width="8.5703125" style="7" customWidth="1"/>
    <col min="5" max="5" width="10.7109375" style="7" customWidth="1"/>
    <col min="6" max="6" width="12.7109375" style="7" customWidth="1"/>
    <col min="7" max="7" width="14.7109375" style="7" customWidth="1"/>
    <col min="8" max="8" width="9.140625" style="1"/>
    <col min="9" max="9" width="13.5703125" style="1" customWidth="1"/>
    <col min="10" max="16384" width="9.140625" style="1"/>
  </cols>
  <sheetData>
    <row r="1" spans="1:9" ht="25.5" customHeight="1">
      <c r="A1" s="546" t="s">
        <v>121</v>
      </c>
      <c r="B1" s="546"/>
      <c r="C1" s="546"/>
      <c r="D1" s="546"/>
      <c r="E1" s="546"/>
      <c r="F1" s="546"/>
      <c r="G1" s="546"/>
    </row>
    <row r="2" spans="1:9" s="2" customFormat="1" ht="31.5" customHeight="1">
      <c r="A2" s="547" t="s">
        <v>128</v>
      </c>
      <c r="B2" s="547"/>
      <c r="C2" s="547"/>
      <c r="D2" s="547"/>
      <c r="E2" s="547"/>
      <c r="F2" s="547"/>
      <c r="G2" s="547"/>
    </row>
    <row r="3" spans="1:9" ht="25.5" customHeight="1">
      <c r="A3" s="550" t="s">
        <v>104</v>
      </c>
      <c r="B3" s="550"/>
      <c r="C3" s="550"/>
      <c r="D3" s="550"/>
      <c r="E3" s="550"/>
      <c r="F3" s="550"/>
      <c r="G3" s="550"/>
    </row>
    <row r="4" spans="1:9" ht="25.5" customHeight="1">
      <c r="A4" s="547" t="s">
        <v>127</v>
      </c>
      <c r="B4" s="547"/>
      <c r="C4" s="547"/>
      <c r="D4" s="547"/>
      <c r="E4" s="547"/>
      <c r="F4" s="547"/>
      <c r="G4" s="547"/>
    </row>
    <row r="5" spans="1:9" ht="8.25" customHeight="1" thickBot="1">
      <c r="A5" s="6"/>
      <c r="B5" s="6"/>
      <c r="C5" s="54"/>
      <c r="D5" s="6"/>
      <c r="E5" s="6"/>
      <c r="F5" s="6"/>
      <c r="G5" s="6"/>
    </row>
    <row r="6" spans="1:9" ht="39.950000000000003" customHeight="1">
      <c r="A6" s="42" t="s">
        <v>1</v>
      </c>
      <c r="B6" s="43" t="s">
        <v>23</v>
      </c>
      <c r="C6" s="44" t="s">
        <v>3</v>
      </c>
      <c r="D6" s="43" t="s">
        <v>17</v>
      </c>
      <c r="E6" s="56" t="s">
        <v>16</v>
      </c>
      <c r="F6" s="45" t="s">
        <v>24</v>
      </c>
      <c r="G6" s="62" t="s">
        <v>30</v>
      </c>
    </row>
    <row r="7" spans="1:9" s="15" customFormat="1" ht="20.100000000000001" customHeight="1" thickBot="1">
      <c r="A7" s="46">
        <v>1</v>
      </c>
      <c r="B7" s="16">
        <v>2</v>
      </c>
      <c r="C7" s="16">
        <v>3</v>
      </c>
      <c r="D7" s="16">
        <v>4</v>
      </c>
      <c r="E7" s="55">
        <v>5</v>
      </c>
      <c r="F7" s="16">
        <v>6</v>
      </c>
      <c r="G7" s="113">
        <v>7</v>
      </c>
    </row>
    <row r="8" spans="1:9" s="15" customFormat="1" ht="20.100000000000001" customHeight="1" thickTop="1" thickBot="1">
      <c r="A8" s="63"/>
      <c r="B8" s="64"/>
      <c r="C8" s="53" t="s">
        <v>2</v>
      </c>
      <c r="D8" s="64"/>
      <c r="E8" s="65"/>
      <c r="F8" s="66"/>
      <c r="G8" s="67"/>
    </row>
    <row r="9" spans="1:9" s="4" customFormat="1" ht="20.100000000000001" customHeight="1" thickTop="1">
      <c r="A9" s="57">
        <v>1</v>
      </c>
      <c r="B9" s="58" t="s">
        <v>55</v>
      </c>
      <c r="C9" s="59" t="s">
        <v>15</v>
      </c>
      <c r="D9" s="58" t="s">
        <v>0</v>
      </c>
      <c r="E9" s="60">
        <v>0.2</v>
      </c>
      <c r="F9" s="165">
        <v>35000</v>
      </c>
      <c r="G9" s="166">
        <f t="shared" ref="G9:G14" si="0">ROUND($F9*E9,2)</f>
        <v>7000</v>
      </c>
      <c r="I9" s="224">
        <f>G9</f>
        <v>7000</v>
      </c>
    </row>
    <row r="10" spans="1:9" s="4" customFormat="1" ht="35.1" customHeight="1">
      <c r="A10" s="68">
        <v>2</v>
      </c>
      <c r="B10" s="39" t="s">
        <v>58</v>
      </c>
      <c r="C10" s="69" t="s">
        <v>69</v>
      </c>
      <c r="D10" s="39" t="s">
        <v>33</v>
      </c>
      <c r="E10" s="70">
        <v>30</v>
      </c>
      <c r="F10" s="18">
        <v>240</v>
      </c>
      <c r="G10" s="167">
        <f t="shared" si="0"/>
        <v>7200</v>
      </c>
      <c r="I10" s="224">
        <f t="shared" ref="I10:I14" si="1">G10</f>
        <v>7200</v>
      </c>
    </row>
    <row r="11" spans="1:9" s="4" customFormat="1" ht="20.100000000000001" customHeight="1">
      <c r="A11" s="68">
        <v>3</v>
      </c>
      <c r="B11" s="39" t="s">
        <v>58</v>
      </c>
      <c r="C11" s="69" t="s">
        <v>70</v>
      </c>
      <c r="D11" s="39" t="s">
        <v>33</v>
      </c>
      <c r="E11" s="70">
        <v>5</v>
      </c>
      <c r="F11" s="18">
        <v>180</v>
      </c>
      <c r="G11" s="167">
        <f t="shared" si="0"/>
        <v>900</v>
      </c>
      <c r="I11" s="224">
        <f t="shared" si="1"/>
        <v>900</v>
      </c>
    </row>
    <row r="12" spans="1:9" s="4" customFormat="1" ht="20.100000000000001" customHeight="1">
      <c r="A12" s="68">
        <v>4</v>
      </c>
      <c r="B12" s="39" t="s">
        <v>46</v>
      </c>
      <c r="C12" s="69" t="s">
        <v>54</v>
      </c>
      <c r="D12" s="93" t="s">
        <v>22</v>
      </c>
      <c r="E12" s="70">
        <v>60</v>
      </c>
      <c r="F12" s="18">
        <v>5</v>
      </c>
      <c r="G12" s="167">
        <f t="shared" si="0"/>
        <v>300</v>
      </c>
      <c r="I12" s="224">
        <f t="shared" si="1"/>
        <v>300</v>
      </c>
    </row>
    <row r="13" spans="1:9" s="4" customFormat="1" ht="20.100000000000001" customHeight="1">
      <c r="A13" s="68">
        <v>5</v>
      </c>
      <c r="B13" s="39" t="s">
        <v>46</v>
      </c>
      <c r="C13" s="69" t="s">
        <v>68</v>
      </c>
      <c r="D13" s="93" t="s">
        <v>22</v>
      </c>
      <c r="E13" s="70">
        <v>120</v>
      </c>
      <c r="F13" s="18">
        <v>15</v>
      </c>
      <c r="G13" s="167">
        <f t="shared" si="0"/>
        <v>1800</v>
      </c>
      <c r="I13" s="224">
        <f t="shared" si="1"/>
        <v>1800</v>
      </c>
    </row>
    <row r="14" spans="1:9" s="4" customFormat="1" ht="20.100000000000001" customHeight="1" thickBot="1">
      <c r="A14" s="71">
        <v>6</v>
      </c>
      <c r="B14" s="72" t="s">
        <v>46</v>
      </c>
      <c r="C14" s="73" t="s">
        <v>67</v>
      </c>
      <c r="D14" s="102" t="s">
        <v>22</v>
      </c>
      <c r="E14" s="74">
        <v>180</v>
      </c>
      <c r="F14" s="109">
        <v>15</v>
      </c>
      <c r="G14" s="223">
        <f t="shared" si="0"/>
        <v>2700</v>
      </c>
      <c r="I14" s="224">
        <f t="shared" si="1"/>
        <v>2700</v>
      </c>
    </row>
    <row r="15" spans="1:9" s="4" customFormat="1" ht="20.100000000000001" customHeight="1" thickBot="1">
      <c r="A15" s="47"/>
      <c r="B15" s="48"/>
      <c r="C15" s="52" t="s">
        <v>40</v>
      </c>
      <c r="D15" s="49"/>
      <c r="E15" s="50"/>
      <c r="F15" s="51"/>
      <c r="G15" s="168">
        <f>SUM(G9:G14)</f>
        <v>19900</v>
      </c>
    </row>
    <row r="16" spans="1:9" s="4" customFormat="1" ht="20.100000000000001" customHeight="1" thickTop="1" thickBot="1">
      <c r="A16" s="63"/>
      <c r="B16" s="64"/>
      <c r="C16" s="53" t="s">
        <v>37</v>
      </c>
      <c r="D16" s="64"/>
      <c r="E16" s="65"/>
      <c r="F16" s="66"/>
      <c r="G16" s="67"/>
    </row>
    <row r="17" spans="1:9" s="4" customFormat="1" ht="20.100000000000001" customHeight="1" thickTop="1">
      <c r="A17" s="75">
        <v>7</v>
      </c>
      <c r="B17" s="76" t="s">
        <v>36</v>
      </c>
      <c r="C17" s="61" t="s">
        <v>62</v>
      </c>
      <c r="D17" s="76" t="s">
        <v>75</v>
      </c>
      <c r="E17" s="77">
        <v>630</v>
      </c>
      <c r="F17" s="221">
        <v>30</v>
      </c>
      <c r="G17" s="216">
        <f>ROUND($F17*E17,2)</f>
        <v>18900</v>
      </c>
      <c r="I17" s="224">
        <f t="shared" ref="I17:I20" si="2">G17</f>
        <v>18900</v>
      </c>
    </row>
    <row r="18" spans="1:9" s="4" customFormat="1" ht="20.100000000000001" customHeight="1">
      <c r="A18" s="68">
        <v>8</v>
      </c>
      <c r="B18" s="39" t="s">
        <v>36</v>
      </c>
      <c r="C18" s="69" t="s">
        <v>77</v>
      </c>
      <c r="D18" s="39" t="s">
        <v>75</v>
      </c>
      <c r="E18" s="78">
        <v>1696.3</v>
      </c>
      <c r="F18" s="18">
        <v>45</v>
      </c>
      <c r="G18" s="222">
        <f>ROUND($F18*E18,2)</f>
        <v>76333.5</v>
      </c>
      <c r="I18" s="224">
        <f t="shared" si="2"/>
        <v>76333.5</v>
      </c>
    </row>
    <row r="19" spans="1:9" s="4" customFormat="1" ht="20.100000000000001" customHeight="1">
      <c r="A19" s="68">
        <v>9</v>
      </c>
      <c r="B19" s="39" t="s">
        <v>61</v>
      </c>
      <c r="C19" s="69" t="s">
        <v>78</v>
      </c>
      <c r="D19" s="39" t="s">
        <v>75</v>
      </c>
      <c r="E19" s="78">
        <v>682.5</v>
      </c>
      <c r="F19" s="18">
        <v>35</v>
      </c>
      <c r="G19" s="222">
        <f>ROUND($F19*E19,2)</f>
        <v>23887.5</v>
      </c>
      <c r="I19" s="224">
        <f t="shared" si="2"/>
        <v>23887.5</v>
      </c>
    </row>
    <row r="20" spans="1:9" s="4" customFormat="1" ht="20.100000000000001" customHeight="1" thickBot="1">
      <c r="A20" s="79">
        <v>10</v>
      </c>
      <c r="B20" s="72" t="s">
        <v>31</v>
      </c>
      <c r="C20" s="80" t="s">
        <v>34</v>
      </c>
      <c r="D20" s="102" t="s">
        <v>22</v>
      </c>
      <c r="E20" s="81">
        <v>2541</v>
      </c>
      <c r="F20" s="109">
        <v>7.5</v>
      </c>
      <c r="G20" s="218">
        <f>ROUND($F20*E20,2)</f>
        <v>19057.5</v>
      </c>
      <c r="I20" s="224">
        <f t="shared" si="2"/>
        <v>19057.5</v>
      </c>
    </row>
    <row r="21" spans="1:9" s="4" customFormat="1" ht="20.100000000000001" customHeight="1" thickBot="1">
      <c r="A21" s="47"/>
      <c r="B21" s="48"/>
      <c r="C21" s="52" t="s">
        <v>42</v>
      </c>
      <c r="D21" s="49"/>
      <c r="E21" s="50"/>
      <c r="F21" s="51"/>
      <c r="G21" s="168">
        <f>SUM(G17:G20)</f>
        <v>138178.5</v>
      </c>
    </row>
    <row r="22" spans="1:9" s="4" customFormat="1" ht="20.100000000000001" customHeight="1" thickTop="1" thickBot="1">
      <c r="A22" s="63"/>
      <c r="B22" s="64"/>
      <c r="C22" s="53" t="s">
        <v>41</v>
      </c>
      <c r="D22" s="64"/>
      <c r="E22" s="65"/>
      <c r="F22" s="66"/>
      <c r="G22" s="67"/>
    </row>
    <row r="23" spans="1:9" s="4" customFormat="1" ht="35.1" customHeight="1" thickTop="1">
      <c r="A23" s="86" t="s">
        <v>71</v>
      </c>
      <c r="B23" s="87" t="s">
        <v>35</v>
      </c>
      <c r="C23" s="88" t="s">
        <v>131</v>
      </c>
      <c r="D23" s="102" t="s">
        <v>22</v>
      </c>
      <c r="E23" s="89">
        <v>2424</v>
      </c>
      <c r="F23" s="165">
        <v>49</v>
      </c>
      <c r="G23" s="166">
        <f>ROUND($F23*E23,2)</f>
        <v>118776</v>
      </c>
      <c r="I23" s="224">
        <f t="shared" ref="I23:I25" si="3">G23</f>
        <v>118776</v>
      </c>
    </row>
    <row r="24" spans="1:9" s="4" customFormat="1" ht="35.1" customHeight="1">
      <c r="A24" s="90" t="s">
        <v>72</v>
      </c>
      <c r="B24" s="91" t="s">
        <v>48</v>
      </c>
      <c r="C24" s="92" t="s">
        <v>132</v>
      </c>
      <c r="D24" s="93" t="s">
        <v>22</v>
      </c>
      <c r="E24" s="94">
        <v>2424</v>
      </c>
      <c r="F24" s="18">
        <v>35</v>
      </c>
      <c r="G24" s="217">
        <f>ROUND($F24*E24,2)</f>
        <v>84840</v>
      </c>
      <c r="I24" s="224">
        <f t="shared" si="3"/>
        <v>84840</v>
      </c>
    </row>
    <row r="25" spans="1:9" s="4" customFormat="1" ht="35.1" customHeight="1" thickBot="1">
      <c r="A25" s="95">
        <v>13</v>
      </c>
      <c r="B25" s="104" t="s">
        <v>76</v>
      </c>
      <c r="C25" s="73" t="s">
        <v>63</v>
      </c>
      <c r="D25" s="102" t="s">
        <v>22</v>
      </c>
      <c r="E25" s="97">
        <v>117</v>
      </c>
      <c r="F25" s="109">
        <v>30</v>
      </c>
      <c r="G25" s="218">
        <f>ROUND($F25*E25,2)</f>
        <v>3510</v>
      </c>
      <c r="I25" s="224">
        <f t="shared" si="3"/>
        <v>3510</v>
      </c>
    </row>
    <row r="26" spans="1:9" s="4" customFormat="1" ht="20.100000000000001" customHeight="1" thickBot="1">
      <c r="A26" s="47"/>
      <c r="B26" s="48"/>
      <c r="C26" s="52" t="s">
        <v>43</v>
      </c>
      <c r="D26" s="49"/>
      <c r="E26" s="50"/>
      <c r="F26" s="51"/>
      <c r="G26" s="168">
        <f>SUM(G23:G25)</f>
        <v>207126</v>
      </c>
    </row>
    <row r="27" spans="1:9" s="4" customFormat="1" ht="20.100000000000001" customHeight="1" thickTop="1" thickBot="1">
      <c r="A27" s="63"/>
      <c r="B27" s="64"/>
      <c r="C27" s="53" t="s">
        <v>38</v>
      </c>
      <c r="D27" s="64"/>
      <c r="E27" s="65"/>
      <c r="F27" s="66"/>
      <c r="G27" s="67"/>
    </row>
    <row r="28" spans="1:9" s="4" customFormat="1" ht="35.1" customHeight="1" thickTop="1">
      <c r="A28" s="98">
        <v>14</v>
      </c>
      <c r="B28" s="105" t="s">
        <v>59</v>
      </c>
      <c r="C28" s="99" t="s">
        <v>133</v>
      </c>
      <c r="D28" s="102" t="s">
        <v>22</v>
      </c>
      <c r="E28" s="77">
        <v>1668</v>
      </c>
      <c r="F28" s="165">
        <v>74</v>
      </c>
      <c r="G28" s="216">
        <f>ROUND($F28*E28,2)</f>
        <v>123432</v>
      </c>
      <c r="I28" s="224">
        <f t="shared" ref="I28:I30" si="4">G28</f>
        <v>123432</v>
      </c>
    </row>
    <row r="29" spans="1:9" s="4" customFormat="1" ht="35.1" customHeight="1">
      <c r="A29" s="101">
        <v>15</v>
      </c>
      <c r="B29" s="38" t="s">
        <v>56</v>
      </c>
      <c r="C29" s="69" t="s">
        <v>64</v>
      </c>
      <c r="D29" s="93" t="s">
        <v>22</v>
      </c>
      <c r="E29" s="103">
        <v>756</v>
      </c>
      <c r="F29" s="18">
        <v>78</v>
      </c>
      <c r="G29" s="217">
        <f>ROUND($F29*E29,2)</f>
        <v>58968</v>
      </c>
      <c r="I29" s="224">
        <f t="shared" si="4"/>
        <v>58968</v>
      </c>
    </row>
    <row r="30" spans="1:9" s="4" customFormat="1" ht="35.1" customHeight="1" thickBot="1">
      <c r="A30" s="95">
        <v>16</v>
      </c>
      <c r="B30" s="104" t="s">
        <v>59</v>
      </c>
      <c r="C30" s="73" t="s">
        <v>65</v>
      </c>
      <c r="D30" s="102" t="s">
        <v>22</v>
      </c>
      <c r="E30" s="81">
        <v>117</v>
      </c>
      <c r="F30" s="109">
        <v>79</v>
      </c>
      <c r="G30" s="218">
        <f>ROUND($F30*E30,2)</f>
        <v>9243</v>
      </c>
      <c r="I30" s="224">
        <f t="shared" si="4"/>
        <v>9243</v>
      </c>
    </row>
    <row r="31" spans="1:9" s="4" customFormat="1" ht="20.100000000000001" customHeight="1" thickBot="1">
      <c r="A31" s="47"/>
      <c r="B31" s="48"/>
      <c r="C31" s="52" t="s">
        <v>44</v>
      </c>
      <c r="D31" s="49"/>
      <c r="E31" s="50"/>
      <c r="F31" s="51"/>
      <c r="G31" s="168">
        <f>SUM(G28:G30)</f>
        <v>191643</v>
      </c>
    </row>
    <row r="32" spans="1:9" s="4" customFormat="1" ht="20.100000000000001" customHeight="1" thickTop="1" thickBot="1">
      <c r="A32" s="63"/>
      <c r="B32" s="64"/>
      <c r="C32" s="53" t="s">
        <v>39</v>
      </c>
      <c r="D32" s="64"/>
      <c r="E32" s="65"/>
      <c r="F32" s="66"/>
      <c r="G32" s="67"/>
    </row>
    <row r="33" spans="1:9" s="4" customFormat="1" ht="35.1" customHeight="1" thickTop="1">
      <c r="A33" s="98">
        <v>17</v>
      </c>
      <c r="B33" s="105" t="s">
        <v>12</v>
      </c>
      <c r="C33" s="99" t="s">
        <v>66</v>
      </c>
      <c r="D33" s="100" t="s">
        <v>13</v>
      </c>
      <c r="E33" s="77">
        <v>209</v>
      </c>
      <c r="F33" s="165">
        <v>60</v>
      </c>
      <c r="G33" s="216">
        <f>ROUND($F33*E33,2)</f>
        <v>12540</v>
      </c>
      <c r="I33" s="224">
        <f t="shared" ref="I33:I36" si="5">G33</f>
        <v>12540</v>
      </c>
    </row>
    <row r="34" spans="1:9" s="4" customFormat="1" ht="20.100000000000001" customHeight="1">
      <c r="A34" s="101">
        <v>18</v>
      </c>
      <c r="B34" s="38" t="s">
        <v>57</v>
      </c>
      <c r="C34" s="69" t="s">
        <v>53</v>
      </c>
      <c r="D34" s="102" t="s">
        <v>13</v>
      </c>
      <c r="E34" s="103">
        <v>384</v>
      </c>
      <c r="F34" s="18">
        <v>60</v>
      </c>
      <c r="G34" s="217">
        <f>ROUND($F34*E34,2)</f>
        <v>23040</v>
      </c>
      <c r="I34" s="224">
        <f t="shared" si="5"/>
        <v>23040</v>
      </c>
    </row>
    <row r="35" spans="1:9" s="4" customFormat="1" ht="20.100000000000001" customHeight="1">
      <c r="A35" s="273">
        <v>19</v>
      </c>
      <c r="B35" s="38" t="s">
        <v>143</v>
      </c>
      <c r="C35" s="271" t="s">
        <v>144</v>
      </c>
      <c r="D35" s="102" t="s">
        <v>13</v>
      </c>
      <c r="E35" s="94">
        <v>80</v>
      </c>
      <c r="F35" s="272">
        <v>35</v>
      </c>
      <c r="G35" s="217">
        <f>ROUND($F35*E35,2)</f>
        <v>2800</v>
      </c>
      <c r="I35" s="224">
        <f t="shared" si="5"/>
        <v>2800</v>
      </c>
    </row>
    <row r="36" spans="1:9" s="4" customFormat="1" ht="35.1" customHeight="1" thickBot="1">
      <c r="A36" s="95">
        <v>20</v>
      </c>
      <c r="B36" s="104" t="s">
        <v>52</v>
      </c>
      <c r="C36" s="73" t="s">
        <v>51</v>
      </c>
      <c r="D36" s="96" t="s">
        <v>13</v>
      </c>
      <c r="E36" s="81">
        <v>322</v>
      </c>
      <c r="F36" s="109">
        <v>45</v>
      </c>
      <c r="G36" s="218">
        <f>ROUND($F36*E36,2)</f>
        <v>14490</v>
      </c>
      <c r="I36" s="224">
        <f t="shared" si="5"/>
        <v>14490</v>
      </c>
    </row>
    <row r="37" spans="1:9" s="4" customFormat="1" ht="20.100000000000001" customHeight="1" thickBot="1">
      <c r="A37" s="47"/>
      <c r="B37" s="48"/>
      <c r="C37" s="52" t="s">
        <v>47</v>
      </c>
      <c r="D37" s="49"/>
      <c r="E37" s="50"/>
      <c r="F37" s="51"/>
      <c r="G37" s="168">
        <f>SUM(G33:G36)</f>
        <v>52870</v>
      </c>
    </row>
    <row r="38" spans="1:9" s="4" customFormat="1" ht="20.100000000000001" customHeight="1" thickTop="1" thickBot="1">
      <c r="A38" s="63"/>
      <c r="B38" s="64"/>
      <c r="C38" s="53" t="s">
        <v>79</v>
      </c>
      <c r="D38" s="64"/>
      <c r="E38" s="65"/>
      <c r="F38" s="66" t="s">
        <v>45</v>
      </c>
      <c r="G38" s="67"/>
    </row>
    <row r="39" spans="1:9" s="4" customFormat="1" ht="20.100000000000001" customHeight="1" thickTop="1" thickBot="1">
      <c r="A39" s="82">
        <v>21</v>
      </c>
      <c r="B39" s="106" t="s">
        <v>36</v>
      </c>
      <c r="C39" s="83" t="s">
        <v>60</v>
      </c>
      <c r="D39" s="84" t="s">
        <v>22</v>
      </c>
      <c r="E39" s="85">
        <v>297</v>
      </c>
      <c r="F39" s="219">
        <v>20</v>
      </c>
      <c r="G39" s="220">
        <f>ROUND($F39*E39,2)</f>
        <v>5940</v>
      </c>
      <c r="I39" s="224">
        <f>G39</f>
        <v>5940</v>
      </c>
    </row>
    <row r="40" spans="1:9" s="4" customFormat="1" ht="20.100000000000001" customHeight="1" thickBot="1">
      <c r="A40" s="47"/>
      <c r="B40" s="48"/>
      <c r="C40" s="52" t="s">
        <v>80</v>
      </c>
      <c r="D40" s="49"/>
      <c r="E40" s="50"/>
      <c r="F40" s="51"/>
      <c r="G40" s="168">
        <f>SUM(G39:G39)</f>
        <v>5940</v>
      </c>
    </row>
    <row r="41" spans="1:9" s="4" customFormat="1" ht="35.1" customHeight="1" thickBot="1">
      <c r="A41" s="153"/>
      <c r="B41" s="154"/>
      <c r="C41" s="155" t="s">
        <v>74</v>
      </c>
      <c r="D41" s="154"/>
      <c r="E41" s="156"/>
      <c r="F41" s="157"/>
      <c r="G41" s="169">
        <f t="shared" ref="G41" si="6">G15+G21+G26+G31+G37+G40</f>
        <v>615657.5</v>
      </c>
      <c r="I41" s="224">
        <f>SUM(I9:I40)</f>
        <v>615657.5</v>
      </c>
    </row>
    <row r="42" spans="1:9" s="2" customFormat="1" ht="15" customHeight="1">
      <c r="A42" s="548"/>
      <c r="B42" s="549"/>
      <c r="C42" s="549"/>
      <c r="D42" s="549"/>
      <c r="E42" s="549"/>
      <c r="F42" s="549"/>
      <c r="G42" s="549"/>
    </row>
    <row r="43" spans="1:9" s="2" customFormat="1" ht="25.5" customHeight="1">
      <c r="A43" s="547" t="s">
        <v>123</v>
      </c>
      <c r="B43" s="547"/>
      <c r="C43" s="547"/>
      <c r="D43" s="547"/>
      <c r="E43" s="547"/>
      <c r="F43" s="547"/>
      <c r="G43" s="547"/>
    </row>
    <row r="44" spans="1:9" s="126" customFormat="1" ht="8.25" customHeight="1" thickBot="1">
      <c r="A44" s="124" t="s">
        <v>113</v>
      </c>
      <c r="B44" s="124"/>
      <c r="C44" s="125"/>
      <c r="D44" s="124"/>
      <c r="E44" s="124"/>
      <c r="F44" s="124"/>
      <c r="G44" s="124"/>
    </row>
    <row r="45" spans="1:9" ht="39.950000000000003" customHeight="1">
      <c r="A45" s="42" t="s">
        <v>1</v>
      </c>
      <c r="B45" s="43" t="s">
        <v>23</v>
      </c>
      <c r="C45" s="44" t="s">
        <v>3</v>
      </c>
      <c r="D45" s="43" t="s">
        <v>17</v>
      </c>
      <c r="E45" s="56" t="s">
        <v>16</v>
      </c>
      <c r="F45" s="45" t="s">
        <v>24</v>
      </c>
      <c r="G45" s="62" t="s">
        <v>30</v>
      </c>
    </row>
    <row r="46" spans="1:9" s="15" customFormat="1" ht="20.100000000000001" customHeight="1" thickBot="1">
      <c r="A46" s="46">
        <v>1</v>
      </c>
      <c r="B46" s="16">
        <v>2</v>
      </c>
      <c r="C46" s="16">
        <v>3</v>
      </c>
      <c r="D46" s="16">
        <v>4</v>
      </c>
      <c r="E46" s="55">
        <v>5</v>
      </c>
      <c r="F46" s="16">
        <v>6</v>
      </c>
      <c r="G46" s="113">
        <v>7</v>
      </c>
    </row>
    <row r="47" spans="1:9" s="15" customFormat="1" ht="20.100000000000001" customHeight="1" thickTop="1" thickBot="1">
      <c r="A47" s="63"/>
      <c r="B47" s="64"/>
      <c r="C47" s="53" t="s">
        <v>2</v>
      </c>
      <c r="D47" s="64"/>
      <c r="E47" s="65"/>
      <c r="F47" s="66"/>
      <c r="G47" s="67"/>
    </row>
    <row r="48" spans="1:9" s="4" customFormat="1" ht="20.100000000000001" customHeight="1" thickTop="1">
      <c r="A48" s="57">
        <v>1</v>
      </c>
      <c r="B48" s="58" t="s">
        <v>55</v>
      </c>
      <c r="C48" s="59" t="s">
        <v>15</v>
      </c>
      <c r="D48" s="58" t="s">
        <v>0</v>
      </c>
      <c r="E48" s="60">
        <v>0.4</v>
      </c>
      <c r="F48" s="165">
        <v>35000</v>
      </c>
      <c r="G48" s="166">
        <f>ROUND($F48*E48,2)</f>
        <v>14000</v>
      </c>
      <c r="I48" s="224">
        <f>G48</f>
        <v>14000</v>
      </c>
    </row>
    <row r="49" spans="1:9" s="4" customFormat="1" ht="35.1" customHeight="1">
      <c r="A49" s="68">
        <v>2</v>
      </c>
      <c r="B49" s="39" t="s">
        <v>58</v>
      </c>
      <c r="C49" s="69" t="s">
        <v>69</v>
      </c>
      <c r="D49" s="39" t="s">
        <v>33</v>
      </c>
      <c r="E49" s="78">
        <v>45</v>
      </c>
      <c r="F49" s="18">
        <v>240</v>
      </c>
      <c r="G49" s="167">
        <f>ROUND($F49*E49,2)</f>
        <v>10800</v>
      </c>
      <c r="I49" s="224">
        <f t="shared" ref="I49:I52" si="7">G49</f>
        <v>10800</v>
      </c>
    </row>
    <row r="50" spans="1:9" s="4" customFormat="1" ht="20.100000000000001" customHeight="1">
      <c r="A50" s="68">
        <v>3</v>
      </c>
      <c r="B50" s="39" t="s">
        <v>58</v>
      </c>
      <c r="C50" s="69" t="s">
        <v>70</v>
      </c>
      <c r="D50" s="39" t="s">
        <v>33</v>
      </c>
      <c r="E50" s="78">
        <v>14</v>
      </c>
      <c r="F50" s="18">
        <v>180</v>
      </c>
      <c r="G50" s="167">
        <f>ROUND($F50*E50,2)</f>
        <v>2520</v>
      </c>
      <c r="I50" s="224">
        <f t="shared" si="7"/>
        <v>2520</v>
      </c>
    </row>
    <row r="51" spans="1:9" s="4" customFormat="1" ht="20.100000000000001" customHeight="1">
      <c r="A51" s="68">
        <v>4</v>
      </c>
      <c r="B51" s="39" t="s">
        <v>46</v>
      </c>
      <c r="C51" s="69" t="s">
        <v>54</v>
      </c>
      <c r="D51" s="102" t="s">
        <v>22</v>
      </c>
      <c r="E51" s="78">
        <v>167.5</v>
      </c>
      <c r="F51" s="18">
        <v>5</v>
      </c>
      <c r="G51" s="167">
        <f>ROUND($F51*E51,2)</f>
        <v>837.5</v>
      </c>
      <c r="I51" s="224">
        <f t="shared" si="7"/>
        <v>837.5</v>
      </c>
    </row>
    <row r="52" spans="1:9" s="4" customFormat="1" ht="20.100000000000001" customHeight="1" thickBot="1">
      <c r="A52" s="68">
        <v>5</v>
      </c>
      <c r="B52" s="39" t="s">
        <v>46</v>
      </c>
      <c r="C52" s="69" t="s">
        <v>67</v>
      </c>
      <c r="D52" s="96" t="s">
        <v>22</v>
      </c>
      <c r="E52" s="78">
        <v>167.5</v>
      </c>
      <c r="F52" s="18">
        <v>15</v>
      </c>
      <c r="G52" s="167">
        <f>ROUND($F52*E52,)</f>
        <v>2513</v>
      </c>
      <c r="I52" s="224">
        <f t="shared" si="7"/>
        <v>2513</v>
      </c>
    </row>
    <row r="53" spans="1:9" s="126" customFormat="1" ht="20.100000000000001" customHeight="1" thickBot="1">
      <c r="A53" s="142"/>
      <c r="B53" s="48"/>
      <c r="C53" s="52" t="s">
        <v>40</v>
      </c>
      <c r="D53" s="49"/>
      <c r="E53" s="141"/>
      <c r="F53" s="140"/>
      <c r="G53" s="168">
        <f>SUM(G48:G52)</f>
        <v>30670.5</v>
      </c>
    </row>
    <row r="54" spans="1:9" s="126" customFormat="1" ht="20.100000000000001" customHeight="1" thickTop="1" thickBot="1">
      <c r="A54" s="148"/>
      <c r="B54" s="147"/>
      <c r="C54" s="53" t="s">
        <v>37</v>
      </c>
      <c r="D54" s="146"/>
      <c r="E54" s="145"/>
      <c r="F54" s="144"/>
      <c r="G54" s="143"/>
    </row>
    <row r="55" spans="1:9" s="126" customFormat="1" ht="20.100000000000001" customHeight="1" thickTop="1">
      <c r="A55" s="256">
        <v>6</v>
      </c>
      <c r="B55" s="58" t="s">
        <v>36</v>
      </c>
      <c r="C55" s="99" t="s">
        <v>112</v>
      </c>
      <c r="D55" s="58" t="s">
        <v>75</v>
      </c>
      <c r="E55" s="257">
        <f>5325*0.6</f>
        <v>3195</v>
      </c>
      <c r="F55" s="158">
        <v>45</v>
      </c>
      <c r="G55" s="258">
        <f>ROUND($F55*E55,2)</f>
        <v>143775</v>
      </c>
      <c r="I55" s="224">
        <f t="shared" ref="I55:I56" si="8">G55</f>
        <v>143775</v>
      </c>
    </row>
    <row r="56" spans="1:9" s="126" customFormat="1" ht="20.100000000000001" customHeight="1" thickBot="1">
      <c r="A56" s="259">
        <v>7</v>
      </c>
      <c r="B56" s="72" t="s">
        <v>31</v>
      </c>
      <c r="C56" s="80" t="s">
        <v>34</v>
      </c>
      <c r="D56" s="96" t="s">
        <v>22</v>
      </c>
      <c r="E56" s="260">
        <f>4684+641</f>
        <v>5325</v>
      </c>
      <c r="F56" s="162">
        <v>7.5</v>
      </c>
      <c r="G56" s="261">
        <f>ROUND($F56*E56,2)</f>
        <v>39937.5</v>
      </c>
      <c r="I56" s="224">
        <f t="shared" si="8"/>
        <v>39937.5</v>
      </c>
    </row>
    <row r="57" spans="1:9" s="126" customFormat="1" ht="20.100000000000001" customHeight="1" thickBot="1">
      <c r="A57" s="142"/>
      <c r="B57" s="48"/>
      <c r="C57" s="52" t="s">
        <v>42</v>
      </c>
      <c r="D57" s="49"/>
      <c r="E57" s="141"/>
      <c r="F57" s="140"/>
      <c r="G57" s="168">
        <f>SUM(G55:G56)</f>
        <v>183712.5</v>
      </c>
    </row>
    <row r="58" spans="1:9" s="126" customFormat="1" ht="20.100000000000001" customHeight="1" thickTop="1" thickBot="1">
      <c r="A58" s="148"/>
      <c r="B58" s="147"/>
      <c r="C58" s="53" t="s">
        <v>41</v>
      </c>
      <c r="D58" s="146"/>
      <c r="E58" s="145"/>
      <c r="F58" s="144"/>
      <c r="G58" s="143"/>
    </row>
    <row r="59" spans="1:9" s="126" customFormat="1" ht="35.1" customHeight="1" thickTop="1">
      <c r="A59" s="86" t="s">
        <v>111</v>
      </c>
      <c r="B59" s="87" t="s">
        <v>35</v>
      </c>
      <c r="C59" s="99" t="s">
        <v>131</v>
      </c>
      <c r="D59" s="100" t="s">
        <v>22</v>
      </c>
      <c r="E59" s="60">
        <f>443+1405+2836</f>
        <v>4684</v>
      </c>
      <c r="F59" s="158">
        <v>49</v>
      </c>
      <c r="G59" s="164">
        <f>ROUND(F59*E59,2)</f>
        <v>229516</v>
      </c>
      <c r="I59" s="224">
        <f t="shared" ref="I59:I61" si="9">G59</f>
        <v>229516</v>
      </c>
    </row>
    <row r="60" spans="1:9" s="126" customFormat="1" ht="35.1" customHeight="1">
      <c r="A60" s="90" t="s">
        <v>110</v>
      </c>
      <c r="B60" s="91" t="s">
        <v>48</v>
      </c>
      <c r="C60" s="69" t="s">
        <v>149</v>
      </c>
      <c r="D60" s="102" t="s">
        <v>22</v>
      </c>
      <c r="E60" s="94">
        <v>4684</v>
      </c>
      <c r="F60" s="160">
        <v>35</v>
      </c>
      <c r="G60" s="161">
        <f>ROUND($F60*E60,2)</f>
        <v>163940</v>
      </c>
      <c r="I60" s="224">
        <f t="shared" si="9"/>
        <v>163940</v>
      </c>
    </row>
    <row r="61" spans="1:9" s="126" customFormat="1" ht="35.1" customHeight="1" thickBot="1">
      <c r="A61" s="149">
        <v>10</v>
      </c>
      <c r="B61" s="104" t="s">
        <v>48</v>
      </c>
      <c r="C61" s="73" t="s">
        <v>109</v>
      </c>
      <c r="D61" s="96" t="s">
        <v>22</v>
      </c>
      <c r="E61" s="97">
        <v>641</v>
      </c>
      <c r="F61" s="162">
        <v>30</v>
      </c>
      <c r="G61" s="163">
        <f>ROUND($F61*E61,2)</f>
        <v>19230</v>
      </c>
      <c r="I61" s="224">
        <f t="shared" si="9"/>
        <v>19230</v>
      </c>
    </row>
    <row r="62" spans="1:9" s="126" customFormat="1" ht="20.100000000000001" customHeight="1" thickBot="1">
      <c r="A62" s="142"/>
      <c r="B62" s="48"/>
      <c r="C62" s="52" t="s">
        <v>43</v>
      </c>
      <c r="D62" s="49"/>
      <c r="E62" s="141"/>
      <c r="F62" s="140"/>
      <c r="G62" s="168">
        <f>SUM(G59:G61)</f>
        <v>412686</v>
      </c>
    </row>
    <row r="63" spans="1:9" s="126" customFormat="1" ht="20.100000000000001" customHeight="1" thickTop="1" thickBot="1">
      <c r="A63" s="148"/>
      <c r="B63" s="147"/>
      <c r="C63" s="53" t="s">
        <v>38</v>
      </c>
      <c r="D63" s="146"/>
      <c r="E63" s="145"/>
      <c r="F63" s="144"/>
      <c r="G63" s="143"/>
    </row>
    <row r="64" spans="1:9" s="126" customFormat="1" ht="35.1" customHeight="1" thickTop="1">
      <c r="A64" s="150">
        <v>11</v>
      </c>
      <c r="B64" s="105" t="s">
        <v>59</v>
      </c>
      <c r="C64" s="99" t="s">
        <v>108</v>
      </c>
      <c r="D64" s="100" t="s">
        <v>22</v>
      </c>
      <c r="E64" s="152">
        <v>2836</v>
      </c>
      <c r="F64" s="165">
        <v>74</v>
      </c>
      <c r="G64" s="159">
        <f>ROUND($F64*E64,2)</f>
        <v>209864</v>
      </c>
      <c r="I64" s="224">
        <f t="shared" ref="I64:I67" si="10">G64</f>
        <v>209864</v>
      </c>
    </row>
    <row r="65" spans="1:9" s="126" customFormat="1" ht="35.1" customHeight="1">
      <c r="A65" s="151">
        <v>12</v>
      </c>
      <c r="B65" s="38" t="s">
        <v>59</v>
      </c>
      <c r="C65" s="69" t="s">
        <v>147</v>
      </c>
      <c r="D65" s="102" t="s">
        <v>22</v>
      </c>
      <c r="E65" s="94">
        <v>443</v>
      </c>
      <c r="F65" s="18">
        <v>78</v>
      </c>
      <c r="G65" s="161">
        <f>ROUND($F65*E65,2)</f>
        <v>34554</v>
      </c>
      <c r="I65" s="224">
        <f t="shared" si="10"/>
        <v>34554</v>
      </c>
    </row>
    <row r="66" spans="1:9" s="126" customFormat="1" ht="35.1" customHeight="1">
      <c r="A66" s="270">
        <v>13</v>
      </c>
      <c r="B66" s="38" t="s">
        <v>59</v>
      </c>
      <c r="C66" s="69" t="s">
        <v>148</v>
      </c>
      <c r="D66" s="102" t="s">
        <v>22</v>
      </c>
      <c r="E66" s="94">
        <v>1405</v>
      </c>
      <c r="F66" s="24">
        <v>74</v>
      </c>
      <c r="G66" s="161">
        <f>ROUND($F66*E66,2)</f>
        <v>103970</v>
      </c>
      <c r="I66" s="224">
        <f t="shared" si="10"/>
        <v>103970</v>
      </c>
    </row>
    <row r="67" spans="1:9" s="126" customFormat="1" ht="35.1" customHeight="1" thickBot="1">
      <c r="A67" s="149">
        <v>14</v>
      </c>
      <c r="B67" s="104" t="s">
        <v>59</v>
      </c>
      <c r="C67" s="73" t="s">
        <v>65</v>
      </c>
      <c r="D67" s="96" t="s">
        <v>22</v>
      </c>
      <c r="E67" s="97">
        <v>641</v>
      </c>
      <c r="F67" s="109">
        <v>79</v>
      </c>
      <c r="G67" s="163">
        <f>ROUND($F67*E67,2)</f>
        <v>50639</v>
      </c>
      <c r="I67" s="224">
        <f t="shared" si="10"/>
        <v>50639</v>
      </c>
    </row>
    <row r="68" spans="1:9" s="126" customFormat="1" ht="20.100000000000001" customHeight="1" thickBot="1">
      <c r="A68" s="142"/>
      <c r="B68" s="48"/>
      <c r="C68" s="52" t="s">
        <v>44</v>
      </c>
      <c r="D68" s="49"/>
      <c r="E68" s="141"/>
      <c r="F68" s="140"/>
      <c r="G68" s="168">
        <f>SUM(G64:G67)</f>
        <v>399027</v>
      </c>
    </row>
    <row r="69" spans="1:9" s="126" customFormat="1" ht="20.100000000000001" customHeight="1" thickTop="1" thickBot="1">
      <c r="A69" s="148"/>
      <c r="B69" s="147"/>
      <c r="C69" s="263" t="s">
        <v>136</v>
      </c>
      <c r="D69" s="146"/>
      <c r="E69" s="145"/>
      <c r="F69" s="144"/>
      <c r="G69" s="143"/>
    </row>
    <row r="70" spans="1:9" s="126" customFormat="1" ht="35.1" customHeight="1" thickTop="1">
      <c r="A70" s="150">
        <v>15</v>
      </c>
      <c r="B70" s="105" t="s">
        <v>134</v>
      </c>
      <c r="C70" s="99" t="s">
        <v>146</v>
      </c>
      <c r="D70" s="100" t="s">
        <v>22</v>
      </c>
      <c r="E70" s="152">
        <v>10.7</v>
      </c>
      <c r="F70" s="165">
        <v>80</v>
      </c>
      <c r="G70" s="159">
        <f t="shared" ref="G70:G73" si="11">ROUND($F70*E70,2)</f>
        <v>856</v>
      </c>
      <c r="I70" s="224">
        <f t="shared" ref="I70:I73" si="12">G70</f>
        <v>856</v>
      </c>
    </row>
    <row r="71" spans="1:9" s="126" customFormat="1" ht="35.1" customHeight="1">
      <c r="A71" s="264">
        <v>16</v>
      </c>
      <c r="B71" s="265" t="s">
        <v>135</v>
      </c>
      <c r="C71" s="266" t="s">
        <v>145</v>
      </c>
      <c r="D71" s="267" t="s">
        <v>33</v>
      </c>
      <c r="E71" s="268">
        <v>18</v>
      </c>
      <c r="F71" s="22">
        <v>200</v>
      </c>
      <c r="G71" s="269">
        <f t="shared" si="11"/>
        <v>3600</v>
      </c>
      <c r="I71" s="224">
        <f t="shared" si="12"/>
        <v>3600</v>
      </c>
    </row>
    <row r="72" spans="1:9" s="126" customFormat="1" ht="35.1" customHeight="1">
      <c r="A72" s="264">
        <v>17</v>
      </c>
      <c r="B72" s="265" t="s">
        <v>135</v>
      </c>
      <c r="C72" s="266" t="s">
        <v>138</v>
      </c>
      <c r="D72" s="267" t="s">
        <v>33</v>
      </c>
      <c r="E72" s="268">
        <v>6</v>
      </c>
      <c r="F72" s="22">
        <v>150</v>
      </c>
      <c r="G72" s="269">
        <f t="shared" si="11"/>
        <v>900</v>
      </c>
      <c r="I72" s="224">
        <f t="shared" si="12"/>
        <v>900</v>
      </c>
    </row>
    <row r="73" spans="1:9" s="126" customFormat="1" ht="35.1" customHeight="1" thickBot="1">
      <c r="A73" s="264">
        <v>18</v>
      </c>
      <c r="B73" s="265" t="s">
        <v>135</v>
      </c>
      <c r="C73" s="266" t="s">
        <v>139</v>
      </c>
      <c r="D73" s="267" t="s">
        <v>90</v>
      </c>
      <c r="E73" s="268">
        <v>24</v>
      </c>
      <c r="F73" s="22">
        <v>350</v>
      </c>
      <c r="G73" s="269">
        <f t="shared" si="11"/>
        <v>8400</v>
      </c>
      <c r="I73" s="224">
        <f t="shared" si="12"/>
        <v>8400</v>
      </c>
    </row>
    <row r="74" spans="1:9" s="126" customFormat="1" ht="20.100000000000001" customHeight="1" thickBot="1">
      <c r="A74" s="142"/>
      <c r="B74" s="48"/>
      <c r="C74" s="262" t="s">
        <v>137</v>
      </c>
      <c r="D74" s="49"/>
      <c r="E74" s="141"/>
      <c r="F74" s="140"/>
      <c r="G74" s="168">
        <f>SUM(G70:G73)</f>
        <v>13756</v>
      </c>
    </row>
    <row r="75" spans="1:9" s="126" customFormat="1" ht="20.100000000000001" customHeight="1" thickTop="1" thickBot="1">
      <c r="A75" s="148"/>
      <c r="B75" s="147"/>
      <c r="C75" s="53" t="s">
        <v>39</v>
      </c>
      <c r="D75" s="146"/>
      <c r="E75" s="145"/>
      <c r="F75" s="144"/>
      <c r="G75" s="143"/>
    </row>
    <row r="76" spans="1:9" s="126" customFormat="1" ht="45" customHeight="1" thickTop="1">
      <c r="A76" s="150">
        <v>19</v>
      </c>
      <c r="B76" s="105" t="s">
        <v>12</v>
      </c>
      <c r="C76" s="99" t="s">
        <v>142</v>
      </c>
      <c r="D76" s="100" t="s">
        <v>13</v>
      </c>
      <c r="E76" s="152">
        <v>889</v>
      </c>
      <c r="F76" s="158">
        <v>60</v>
      </c>
      <c r="G76" s="159">
        <f>ROUND($F76*E76,2)</f>
        <v>53340</v>
      </c>
      <c r="I76" s="224">
        <f t="shared" ref="I76:I79" si="13">G76</f>
        <v>53340</v>
      </c>
    </row>
    <row r="77" spans="1:9" s="126" customFormat="1" ht="35.1" customHeight="1">
      <c r="A77" s="151">
        <v>20</v>
      </c>
      <c r="B77" s="38" t="s">
        <v>57</v>
      </c>
      <c r="C77" s="69" t="s">
        <v>53</v>
      </c>
      <c r="D77" s="102" t="s">
        <v>13</v>
      </c>
      <c r="E77" s="94">
        <v>1216</v>
      </c>
      <c r="F77" s="160">
        <v>60</v>
      </c>
      <c r="G77" s="161">
        <f>ROUND($F77*E77,2)</f>
        <v>72960</v>
      </c>
      <c r="I77" s="224">
        <f t="shared" si="13"/>
        <v>72960</v>
      </c>
    </row>
    <row r="78" spans="1:9" s="126" customFormat="1" ht="35.1" customHeight="1">
      <c r="A78" s="270">
        <v>21</v>
      </c>
      <c r="B78" s="38" t="s">
        <v>143</v>
      </c>
      <c r="C78" s="271" t="s">
        <v>144</v>
      </c>
      <c r="D78" s="102" t="s">
        <v>13</v>
      </c>
      <c r="E78" s="94">
        <v>337</v>
      </c>
      <c r="F78" s="272">
        <v>35</v>
      </c>
      <c r="G78" s="161">
        <f>ROUND($F78*E78,2)</f>
        <v>11795</v>
      </c>
      <c r="I78" s="224">
        <f t="shared" si="13"/>
        <v>11795</v>
      </c>
    </row>
    <row r="79" spans="1:9" s="126" customFormat="1" ht="35.1" customHeight="1">
      <c r="A79" s="151">
        <v>22</v>
      </c>
      <c r="B79" s="38" t="s">
        <v>52</v>
      </c>
      <c r="C79" s="69" t="s">
        <v>51</v>
      </c>
      <c r="D79" s="102" t="s">
        <v>13</v>
      </c>
      <c r="E79" s="94">
        <v>889</v>
      </c>
      <c r="F79" s="160">
        <v>45</v>
      </c>
      <c r="G79" s="161">
        <f>ROUND($F79*E79,2)</f>
        <v>40005</v>
      </c>
      <c r="I79" s="224">
        <f t="shared" si="13"/>
        <v>40005</v>
      </c>
    </row>
    <row r="80" spans="1:9" s="126" customFormat="1" ht="63.75" customHeight="1" thickBot="1">
      <c r="A80" s="149">
        <v>23</v>
      </c>
      <c r="B80" s="104"/>
      <c r="C80" s="73" t="s">
        <v>164</v>
      </c>
      <c r="D80" s="96" t="s">
        <v>163</v>
      </c>
      <c r="E80" s="97">
        <v>2</v>
      </c>
      <c r="F80" s="162">
        <v>3300</v>
      </c>
      <c r="G80" s="163">
        <f>ROUND($F80*E80,2)</f>
        <v>6600</v>
      </c>
      <c r="I80" s="224">
        <f>G80*1.23</f>
        <v>8118</v>
      </c>
    </row>
    <row r="81" spans="1:16" s="126" customFormat="1" ht="20.100000000000001" customHeight="1" thickBot="1">
      <c r="A81" s="142"/>
      <c r="B81" s="48"/>
      <c r="C81" s="52" t="s">
        <v>47</v>
      </c>
      <c r="D81" s="49"/>
      <c r="E81" s="141"/>
      <c r="F81" s="140"/>
      <c r="G81" s="168">
        <f>SUM(G76:G79)</f>
        <v>178100</v>
      </c>
    </row>
    <row r="82" spans="1:16" s="126" customFormat="1" ht="35.1" customHeight="1" thickBot="1">
      <c r="A82" s="153"/>
      <c r="B82" s="154"/>
      <c r="C82" s="155" t="s">
        <v>165</v>
      </c>
      <c r="D82" s="154"/>
      <c r="E82" s="156"/>
      <c r="F82" s="157"/>
      <c r="G82" s="169">
        <f>G53+G57+G62+G68+G81+G74</f>
        <v>1217952</v>
      </c>
      <c r="I82" s="274">
        <f>SUM(I48:I81)</f>
        <v>1226070</v>
      </c>
    </row>
    <row r="84" spans="1:16" ht="25.5" customHeight="1">
      <c r="A84" s="550" t="s">
        <v>105</v>
      </c>
      <c r="B84" s="550"/>
      <c r="C84" s="550"/>
      <c r="D84" s="550"/>
      <c r="E84" s="550"/>
      <c r="F84" s="550"/>
      <c r="G84" s="550"/>
    </row>
    <row r="85" spans="1:16" s="2" customFormat="1" ht="31.5" customHeight="1" thickBot="1">
      <c r="A85" s="547" t="s">
        <v>130</v>
      </c>
      <c r="B85" s="547"/>
      <c r="C85" s="547"/>
      <c r="D85" s="547"/>
      <c r="E85" s="547"/>
      <c r="F85" s="547"/>
      <c r="G85" s="547"/>
      <c r="I85" s="547" t="s">
        <v>130</v>
      </c>
      <c r="J85" s="547"/>
      <c r="K85" s="547"/>
      <c r="L85" s="547"/>
      <c r="M85" s="547"/>
      <c r="N85" s="547"/>
      <c r="O85" s="547"/>
      <c r="P85" s="547"/>
    </row>
    <row r="86" spans="1:16" ht="39.950000000000003" customHeight="1">
      <c r="A86" s="42" t="s">
        <v>1</v>
      </c>
      <c r="B86" s="43" t="s">
        <v>23</v>
      </c>
      <c r="C86" s="44" t="s">
        <v>3</v>
      </c>
      <c r="D86" s="43" t="s">
        <v>17</v>
      </c>
      <c r="E86" s="56" t="s">
        <v>16</v>
      </c>
      <c r="F86" s="45" t="s">
        <v>24</v>
      </c>
      <c r="G86" s="62" t="s">
        <v>30</v>
      </c>
    </row>
    <row r="87" spans="1:16" s="15" customFormat="1" ht="20.100000000000001" customHeight="1" thickBot="1">
      <c r="A87" s="46">
        <v>1</v>
      </c>
      <c r="B87" s="16">
        <v>2</v>
      </c>
      <c r="C87" s="16">
        <v>3</v>
      </c>
      <c r="D87" s="16">
        <v>4</v>
      </c>
      <c r="E87" s="55">
        <v>5</v>
      </c>
      <c r="F87" s="16">
        <v>6</v>
      </c>
      <c r="G87" s="113">
        <v>7</v>
      </c>
    </row>
    <row r="88" spans="1:16" ht="20.100000000000001" customHeight="1" thickTop="1" thickBot="1">
      <c r="A88" s="148"/>
      <c r="B88" s="147"/>
      <c r="C88" s="53" t="s">
        <v>37</v>
      </c>
      <c r="D88" s="146"/>
      <c r="E88" s="145"/>
      <c r="F88" s="144"/>
      <c r="G88" s="143"/>
    </row>
    <row r="89" spans="1:16" s="126" customFormat="1" ht="63.95" customHeight="1" thickTop="1">
      <c r="A89" s="170">
        <v>1</v>
      </c>
      <c r="B89" s="171" t="s">
        <v>88</v>
      </c>
      <c r="C89" s="172" t="s">
        <v>103</v>
      </c>
      <c r="D89" s="173" t="s">
        <v>75</v>
      </c>
      <c r="E89" s="174">
        <v>307.33999999999997</v>
      </c>
      <c r="F89" s="175">
        <v>16.829999999999998</v>
      </c>
      <c r="G89" s="176">
        <f t="shared" ref="G89:G95" si="14">E89*F89</f>
        <v>5172.53</v>
      </c>
    </row>
    <row r="90" spans="1:16" s="126" customFormat="1" ht="44.1" customHeight="1">
      <c r="A90" s="177">
        <f>A89+1</f>
        <v>2</v>
      </c>
      <c r="B90" s="178" t="s">
        <v>88</v>
      </c>
      <c r="C90" s="179" t="s">
        <v>96</v>
      </c>
      <c r="D90" s="180" t="s">
        <v>75</v>
      </c>
      <c r="E90" s="181">
        <v>307.33999999999997</v>
      </c>
      <c r="F90" s="182">
        <v>49.03</v>
      </c>
      <c r="G90" s="183">
        <f t="shared" si="14"/>
        <v>15068.88</v>
      </c>
    </row>
    <row r="91" spans="1:16" s="126" customFormat="1" ht="44.1" customHeight="1">
      <c r="A91" s="177">
        <f t="shared" ref="A91:A95" si="15">A90+1</f>
        <v>3</v>
      </c>
      <c r="B91" s="178" t="s">
        <v>88</v>
      </c>
      <c r="C91" s="184" t="s">
        <v>95</v>
      </c>
      <c r="D91" s="180" t="s">
        <v>75</v>
      </c>
      <c r="E91" s="181">
        <v>149.15</v>
      </c>
      <c r="F91" s="182">
        <v>133.72</v>
      </c>
      <c r="G91" s="183">
        <f t="shared" si="14"/>
        <v>19944.34</v>
      </c>
    </row>
    <row r="92" spans="1:16" s="126" customFormat="1" ht="32.1" customHeight="1">
      <c r="A92" s="177">
        <f t="shared" si="15"/>
        <v>4</v>
      </c>
      <c r="B92" s="178" t="s">
        <v>88</v>
      </c>
      <c r="C92" s="184" t="s">
        <v>94</v>
      </c>
      <c r="D92" s="180" t="s">
        <v>75</v>
      </c>
      <c r="E92" s="181">
        <v>1.06</v>
      </c>
      <c r="F92" s="182">
        <v>346.77</v>
      </c>
      <c r="G92" s="183">
        <f t="shared" si="14"/>
        <v>367.58</v>
      </c>
    </row>
    <row r="93" spans="1:16" s="126" customFormat="1" ht="44.1" customHeight="1">
      <c r="A93" s="177">
        <f t="shared" si="15"/>
        <v>5</v>
      </c>
      <c r="B93" s="178" t="s">
        <v>88</v>
      </c>
      <c r="C93" s="179" t="s">
        <v>93</v>
      </c>
      <c r="D93" s="180" t="s">
        <v>75</v>
      </c>
      <c r="E93" s="181">
        <v>73.2</v>
      </c>
      <c r="F93" s="182">
        <v>110.27</v>
      </c>
      <c r="G93" s="183">
        <f t="shared" si="14"/>
        <v>8071.76</v>
      </c>
    </row>
    <row r="94" spans="1:16" s="126" customFormat="1" ht="32.1" customHeight="1">
      <c r="A94" s="177">
        <f t="shared" si="15"/>
        <v>6</v>
      </c>
      <c r="B94" s="178" t="s">
        <v>88</v>
      </c>
      <c r="C94" s="179" t="s">
        <v>92</v>
      </c>
      <c r="D94" s="180" t="s">
        <v>90</v>
      </c>
      <c r="E94" s="181">
        <v>8</v>
      </c>
      <c r="F94" s="182">
        <v>430.53</v>
      </c>
      <c r="G94" s="183">
        <f t="shared" si="14"/>
        <v>3444.24</v>
      </c>
    </row>
    <row r="95" spans="1:16" s="126" customFormat="1" ht="44.1" customHeight="1">
      <c r="A95" s="177">
        <f t="shared" si="15"/>
        <v>7</v>
      </c>
      <c r="B95" s="178" t="s">
        <v>88</v>
      </c>
      <c r="C95" s="179" t="s">
        <v>91</v>
      </c>
      <c r="D95" s="180" t="s">
        <v>90</v>
      </c>
      <c r="E95" s="181">
        <v>3</v>
      </c>
      <c r="F95" s="182">
        <v>156.97</v>
      </c>
      <c r="G95" s="183">
        <f t="shared" si="14"/>
        <v>470.91</v>
      </c>
    </row>
    <row r="96" spans="1:16" ht="20.100000000000001" customHeight="1" thickBot="1">
      <c r="A96" s="185"/>
      <c r="B96" s="186"/>
      <c r="C96" s="187" t="s">
        <v>42</v>
      </c>
      <c r="D96" s="188"/>
      <c r="E96" s="189"/>
      <c r="F96" s="190"/>
      <c r="G96" s="215">
        <f>SUM(G89:G95)</f>
        <v>52540.24</v>
      </c>
    </row>
    <row r="97" spans="1:7" ht="20.100000000000001" customHeight="1" thickTop="1" thickBot="1">
      <c r="A97" s="148"/>
      <c r="B97" s="147"/>
      <c r="C97" s="53" t="s">
        <v>115</v>
      </c>
      <c r="D97" s="146"/>
      <c r="E97" s="145"/>
      <c r="F97" s="144"/>
      <c r="G97" s="143"/>
    </row>
    <row r="98" spans="1:7" s="126" customFormat="1" ht="44.1" customHeight="1" thickTop="1">
      <c r="A98" s="191">
        <v>8</v>
      </c>
      <c r="B98" s="192" t="s">
        <v>82</v>
      </c>
      <c r="C98" s="193" t="s">
        <v>117</v>
      </c>
      <c r="D98" s="194" t="s">
        <v>81</v>
      </c>
      <c r="E98" s="195">
        <v>134.30000000000001</v>
      </c>
      <c r="F98" s="196">
        <v>390</v>
      </c>
      <c r="G98" s="197">
        <f t="shared" ref="G98:G107" si="16">E98*F98</f>
        <v>52377</v>
      </c>
    </row>
    <row r="99" spans="1:7" s="126" customFormat="1" ht="44.1" customHeight="1">
      <c r="A99" s="198">
        <v>9</v>
      </c>
      <c r="B99" s="200" t="s">
        <v>82</v>
      </c>
      <c r="C99" s="201" t="s">
        <v>119</v>
      </c>
      <c r="D99" s="202" t="s">
        <v>81</v>
      </c>
      <c r="E99" s="203">
        <v>2.5</v>
      </c>
      <c r="F99" s="204">
        <v>280</v>
      </c>
      <c r="G99" s="205">
        <f t="shared" si="16"/>
        <v>700</v>
      </c>
    </row>
    <row r="100" spans="1:7" s="126" customFormat="1" ht="44.1" customHeight="1">
      <c r="A100" s="198">
        <v>10</v>
      </c>
      <c r="B100" s="200" t="s">
        <v>82</v>
      </c>
      <c r="C100" s="201" t="s">
        <v>120</v>
      </c>
      <c r="D100" s="202" t="s">
        <v>81</v>
      </c>
      <c r="E100" s="203">
        <v>9</v>
      </c>
      <c r="F100" s="204">
        <v>190</v>
      </c>
      <c r="G100" s="205">
        <f t="shared" si="16"/>
        <v>1710</v>
      </c>
    </row>
    <row r="101" spans="1:7" s="126" customFormat="1" ht="44.1" customHeight="1">
      <c r="A101" s="198">
        <v>11</v>
      </c>
      <c r="B101" s="200" t="s">
        <v>88</v>
      </c>
      <c r="C101" s="201" t="s">
        <v>89</v>
      </c>
      <c r="D101" s="202" t="s">
        <v>33</v>
      </c>
      <c r="E101" s="203">
        <v>1</v>
      </c>
      <c r="F101" s="204">
        <v>440</v>
      </c>
      <c r="G101" s="205">
        <f t="shared" si="16"/>
        <v>440</v>
      </c>
    </row>
    <row r="102" spans="1:7" s="126" customFormat="1" ht="90" customHeight="1">
      <c r="A102" s="198">
        <v>12</v>
      </c>
      <c r="B102" s="200" t="s">
        <v>82</v>
      </c>
      <c r="C102" s="206" t="s">
        <v>102</v>
      </c>
      <c r="D102" s="202" t="s">
        <v>33</v>
      </c>
      <c r="E102" s="203">
        <v>3</v>
      </c>
      <c r="F102" s="204">
        <v>8534.84</v>
      </c>
      <c r="G102" s="205">
        <f t="shared" si="16"/>
        <v>25604.52</v>
      </c>
    </row>
    <row r="103" spans="1:7" s="126" customFormat="1" ht="32.1" customHeight="1">
      <c r="A103" s="198">
        <v>13</v>
      </c>
      <c r="B103" s="200" t="s">
        <v>82</v>
      </c>
      <c r="C103" s="206" t="s">
        <v>87</v>
      </c>
      <c r="D103" s="202" t="s">
        <v>33</v>
      </c>
      <c r="E103" s="203">
        <v>5</v>
      </c>
      <c r="F103" s="204">
        <v>1660.68</v>
      </c>
      <c r="G103" s="205">
        <f t="shared" si="16"/>
        <v>8303.4</v>
      </c>
    </row>
    <row r="104" spans="1:7" s="126" customFormat="1" ht="32.1" customHeight="1">
      <c r="A104" s="198">
        <v>14</v>
      </c>
      <c r="B104" s="200" t="s">
        <v>82</v>
      </c>
      <c r="C104" s="206" t="s">
        <v>99</v>
      </c>
      <c r="D104" s="202" t="s">
        <v>33</v>
      </c>
      <c r="E104" s="203">
        <v>1</v>
      </c>
      <c r="F104" s="204">
        <v>7807.42</v>
      </c>
      <c r="G104" s="205">
        <f t="shared" si="16"/>
        <v>7807.42</v>
      </c>
    </row>
    <row r="105" spans="1:7" s="126" customFormat="1" ht="44.1" customHeight="1">
      <c r="A105" s="198">
        <v>15</v>
      </c>
      <c r="B105" s="200" t="s">
        <v>82</v>
      </c>
      <c r="C105" s="208" t="s">
        <v>125</v>
      </c>
      <c r="D105" s="202" t="s">
        <v>84</v>
      </c>
      <c r="E105" s="203">
        <v>1</v>
      </c>
      <c r="F105" s="204">
        <v>3540.05</v>
      </c>
      <c r="G105" s="205">
        <f t="shared" si="16"/>
        <v>3540.05</v>
      </c>
    </row>
    <row r="106" spans="1:7" s="126" customFormat="1" ht="44.1" customHeight="1">
      <c r="A106" s="198">
        <v>16</v>
      </c>
      <c r="B106" s="200" t="s">
        <v>82</v>
      </c>
      <c r="C106" s="208" t="s">
        <v>124</v>
      </c>
      <c r="D106" s="199" t="s">
        <v>84</v>
      </c>
      <c r="E106" s="199">
        <v>4</v>
      </c>
      <c r="F106" s="204">
        <v>355.29</v>
      </c>
      <c r="G106" s="205">
        <f t="shared" si="16"/>
        <v>1421.16</v>
      </c>
    </row>
    <row r="107" spans="1:7" s="126" customFormat="1" ht="32.1" customHeight="1" thickBot="1">
      <c r="A107" s="209">
        <v>17</v>
      </c>
      <c r="B107" s="211" t="s">
        <v>82</v>
      </c>
      <c r="C107" s="212" t="s">
        <v>83</v>
      </c>
      <c r="D107" s="210" t="s">
        <v>81</v>
      </c>
      <c r="E107" s="210">
        <v>136.80000000000001</v>
      </c>
      <c r="F107" s="213">
        <v>33</v>
      </c>
      <c r="G107" s="214">
        <f t="shared" si="16"/>
        <v>4514.3999999999996</v>
      </c>
    </row>
    <row r="108" spans="1:7" ht="20.100000000000001" customHeight="1" thickBot="1">
      <c r="A108" s="142"/>
      <c r="B108" s="48"/>
      <c r="C108" s="52" t="s">
        <v>116</v>
      </c>
      <c r="D108" s="49"/>
      <c r="E108" s="141"/>
      <c r="F108" s="140"/>
      <c r="G108" s="168">
        <f>SUM(G98:G107)</f>
        <v>106417.95</v>
      </c>
    </row>
    <row r="109" spans="1:7" ht="35.1" customHeight="1" thickBot="1">
      <c r="A109" s="153"/>
      <c r="B109" s="154"/>
      <c r="C109" s="155" t="s">
        <v>155</v>
      </c>
      <c r="D109" s="154"/>
      <c r="E109" s="156"/>
      <c r="F109" s="157"/>
      <c r="G109" s="169">
        <f>G108+G96</f>
        <v>158958.19</v>
      </c>
    </row>
    <row r="111" spans="1:7" s="2" customFormat="1" ht="31.5" customHeight="1" thickBot="1">
      <c r="A111" s="547" t="s">
        <v>129</v>
      </c>
      <c r="B111" s="547"/>
      <c r="C111" s="547"/>
      <c r="D111" s="547"/>
      <c r="E111" s="547"/>
      <c r="F111" s="547"/>
      <c r="G111" s="547"/>
    </row>
    <row r="112" spans="1:7" ht="39.950000000000003" customHeight="1">
      <c r="A112" s="42" t="s">
        <v>1</v>
      </c>
      <c r="B112" s="43" t="s">
        <v>23</v>
      </c>
      <c r="C112" s="44" t="s">
        <v>3</v>
      </c>
      <c r="D112" s="43" t="s">
        <v>17</v>
      </c>
      <c r="E112" s="56" t="s">
        <v>16</v>
      </c>
      <c r="F112" s="45" t="s">
        <v>24</v>
      </c>
      <c r="G112" s="62" t="s">
        <v>30</v>
      </c>
    </row>
    <row r="113" spans="1:7" s="15" customFormat="1" ht="20.100000000000001" customHeight="1" thickBot="1">
      <c r="A113" s="46">
        <v>1</v>
      </c>
      <c r="B113" s="16">
        <v>2</v>
      </c>
      <c r="C113" s="16">
        <v>3</v>
      </c>
      <c r="D113" s="16">
        <v>4</v>
      </c>
      <c r="E113" s="55">
        <v>5</v>
      </c>
      <c r="F113" s="16">
        <v>6</v>
      </c>
      <c r="G113" s="113">
        <v>7</v>
      </c>
    </row>
    <row r="114" spans="1:7" ht="20.100000000000001" customHeight="1" thickTop="1" thickBot="1">
      <c r="A114" s="148"/>
      <c r="B114" s="147"/>
      <c r="C114" s="53" t="s">
        <v>37</v>
      </c>
      <c r="D114" s="146"/>
      <c r="E114" s="145"/>
      <c r="F114" s="144"/>
      <c r="G114" s="143"/>
    </row>
    <row r="115" spans="1:7" s="126" customFormat="1" ht="63.95" customHeight="1" thickTop="1">
      <c r="A115" s="170">
        <v>1</v>
      </c>
      <c r="B115" s="171" t="s">
        <v>88</v>
      </c>
      <c r="C115" s="172" t="s">
        <v>103</v>
      </c>
      <c r="D115" s="173" t="s">
        <v>75</v>
      </c>
      <c r="E115" s="174">
        <v>1864.82</v>
      </c>
      <c r="F115" s="175">
        <v>16.829999999999998</v>
      </c>
      <c r="G115" s="176">
        <f t="shared" ref="G115:G121" si="17">E115*F115</f>
        <v>31384.92</v>
      </c>
    </row>
    <row r="116" spans="1:7" s="126" customFormat="1" ht="44.1" customHeight="1">
      <c r="A116" s="177">
        <f>A115+1</f>
        <v>2</v>
      </c>
      <c r="B116" s="178" t="s">
        <v>88</v>
      </c>
      <c r="C116" s="179" t="s">
        <v>96</v>
      </c>
      <c r="D116" s="180" t="s">
        <v>75</v>
      </c>
      <c r="E116" s="181">
        <v>1864.82</v>
      </c>
      <c r="F116" s="182">
        <v>49.03</v>
      </c>
      <c r="G116" s="183">
        <f t="shared" si="17"/>
        <v>91432.12</v>
      </c>
    </row>
    <row r="117" spans="1:7" s="126" customFormat="1" ht="44.1" customHeight="1">
      <c r="A117" s="177">
        <f t="shared" ref="A117:A121" si="18">A116+1</f>
        <v>3</v>
      </c>
      <c r="B117" s="178" t="s">
        <v>88</v>
      </c>
      <c r="C117" s="184" t="s">
        <v>95</v>
      </c>
      <c r="D117" s="180" t="s">
        <v>75</v>
      </c>
      <c r="E117" s="181">
        <v>572.71</v>
      </c>
      <c r="F117" s="182">
        <v>133.72</v>
      </c>
      <c r="G117" s="183">
        <f t="shared" si="17"/>
        <v>76582.78</v>
      </c>
    </row>
    <row r="118" spans="1:7" s="126" customFormat="1" ht="32.1" customHeight="1">
      <c r="A118" s="177">
        <f t="shared" si="18"/>
        <v>4</v>
      </c>
      <c r="B118" s="178" t="s">
        <v>88</v>
      </c>
      <c r="C118" s="184" t="s">
        <v>94</v>
      </c>
      <c r="D118" s="180" t="s">
        <v>75</v>
      </c>
      <c r="E118" s="181">
        <v>6.45</v>
      </c>
      <c r="F118" s="182">
        <v>346.77</v>
      </c>
      <c r="G118" s="183">
        <f t="shared" si="17"/>
        <v>2236.67</v>
      </c>
    </row>
    <row r="119" spans="1:7" s="126" customFormat="1" ht="44.1" customHeight="1">
      <c r="A119" s="177">
        <f t="shared" si="18"/>
        <v>5</v>
      </c>
      <c r="B119" s="178" t="s">
        <v>88</v>
      </c>
      <c r="C119" s="179" t="s">
        <v>93</v>
      </c>
      <c r="D119" s="180" t="s">
        <v>75</v>
      </c>
      <c r="E119" s="181">
        <v>881.05</v>
      </c>
      <c r="F119" s="182">
        <v>110.27</v>
      </c>
      <c r="G119" s="183">
        <f t="shared" si="17"/>
        <v>97153.38</v>
      </c>
    </row>
    <row r="120" spans="1:7" s="126" customFormat="1" ht="32.1" customHeight="1">
      <c r="A120" s="177">
        <f t="shared" si="18"/>
        <v>6</v>
      </c>
      <c r="B120" s="178" t="s">
        <v>88</v>
      </c>
      <c r="C120" s="179" t="s">
        <v>92</v>
      </c>
      <c r="D120" s="180" t="s">
        <v>90</v>
      </c>
      <c r="E120" s="181">
        <v>53</v>
      </c>
      <c r="F120" s="182">
        <v>430.53</v>
      </c>
      <c r="G120" s="183">
        <f t="shared" si="17"/>
        <v>22818.09</v>
      </c>
    </row>
    <row r="121" spans="1:7" s="126" customFormat="1" ht="44.1" customHeight="1">
      <c r="A121" s="177">
        <f t="shared" si="18"/>
        <v>7</v>
      </c>
      <c r="B121" s="178" t="s">
        <v>88</v>
      </c>
      <c r="C121" s="179" t="s">
        <v>91</v>
      </c>
      <c r="D121" s="180" t="s">
        <v>90</v>
      </c>
      <c r="E121" s="181">
        <v>5</v>
      </c>
      <c r="F121" s="182">
        <v>156.97</v>
      </c>
      <c r="G121" s="183">
        <f t="shared" si="17"/>
        <v>784.85</v>
      </c>
    </row>
    <row r="122" spans="1:7" ht="20.100000000000001" customHeight="1" thickBot="1">
      <c r="A122" s="185"/>
      <c r="B122" s="186"/>
      <c r="C122" s="187" t="s">
        <v>42</v>
      </c>
      <c r="D122" s="188"/>
      <c r="E122" s="189"/>
      <c r="F122" s="190"/>
      <c r="G122" s="215">
        <f>SUM(G115:G121)</f>
        <v>322392.81</v>
      </c>
    </row>
    <row r="123" spans="1:7" ht="20.100000000000001" customHeight="1" thickTop="1" thickBot="1">
      <c r="A123" s="148"/>
      <c r="B123" s="147"/>
      <c r="C123" s="53" t="s">
        <v>115</v>
      </c>
      <c r="D123" s="146"/>
      <c r="E123" s="145"/>
      <c r="F123" s="144"/>
      <c r="G123" s="143"/>
    </row>
    <row r="124" spans="1:7" s="126" customFormat="1" ht="44.1" customHeight="1" thickTop="1">
      <c r="A124" s="191">
        <v>8</v>
      </c>
      <c r="B124" s="192" t="s">
        <v>82</v>
      </c>
      <c r="C124" s="193" t="s">
        <v>117</v>
      </c>
      <c r="D124" s="194" t="s">
        <v>81</v>
      </c>
      <c r="E124" s="195">
        <v>468.7</v>
      </c>
      <c r="F124" s="196">
        <v>390</v>
      </c>
      <c r="G124" s="197">
        <f t="shared" ref="G124:G140" si="19">E124*F124</f>
        <v>182793</v>
      </c>
    </row>
    <row r="125" spans="1:7" s="126" customFormat="1" ht="44.1" customHeight="1">
      <c r="A125" s="198">
        <v>9</v>
      </c>
      <c r="B125" s="200" t="s">
        <v>82</v>
      </c>
      <c r="C125" s="201" t="s">
        <v>118</v>
      </c>
      <c r="D125" s="202" t="s">
        <v>81</v>
      </c>
      <c r="E125" s="203">
        <v>53.9</v>
      </c>
      <c r="F125" s="204">
        <v>310</v>
      </c>
      <c r="G125" s="205">
        <f t="shared" si="19"/>
        <v>16709</v>
      </c>
    </row>
    <row r="126" spans="1:7" s="126" customFormat="1" ht="44.1" customHeight="1">
      <c r="A126" s="198">
        <v>10</v>
      </c>
      <c r="B126" s="200" t="s">
        <v>82</v>
      </c>
      <c r="C126" s="201" t="s">
        <v>119</v>
      </c>
      <c r="D126" s="202" t="s">
        <v>81</v>
      </c>
      <c r="E126" s="203">
        <v>90.1</v>
      </c>
      <c r="F126" s="204">
        <v>280</v>
      </c>
      <c r="G126" s="205">
        <f t="shared" si="19"/>
        <v>25228</v>
      </c>
    </row>
    <row r="127" spans="1:7" s="126" customFormat="1" ht="44.1" customHeight="1">
      <c r="A127" s="198">
        <v>11</v>
      </c>
      <c r="B127" s="200" t="s">
        <v>82</v>
      </c>
      <c r="C127" s="201" t="s">
        <v>120</v>
      </c>
      <c r="D127" s="202" t="s">
        <v>81</v>
      </c>
      <c r="E127" s="203">
        <v>5</v>
      </c>
      <c r="F127" s="204">
        <v>190</v>
      </c>
      <c r="G127" s="205">
        <f t="shared" si="19"/>
        <v>950</v>
      </c>
    </row>
    <row r="128" spans="1:7" s="126" customFormat="1" ht="44.1" customHeight="1">
      <c r="A128" s="198">
        <v>12</v>
      </c>
      <c r="B128" s="200" t="s">
        <v>88</v>
      </c>
      <c r="C128" s="201" t="s">
        <v>89</v>
      </c>
      <c r="D128" s="202" t="s">
        <v>33</v>
      </c>
      <c r="E128" s="203">
        <v>2</v>
      </c>
      <c r="F128" s="204">
        <v>440</v>
      </c>
      <c r="G128" s="205">
        <f t="shared" si="19"/>
        <v>880</v>
      </c>
    </row>
    <row r="129" spans="1:7" s="126" customFormat="1" ht="90" customHeight="1">
      <c r="A129" s="198">
        <v>13</v>
      </c>
      <c r="B129" s="200" t="s">
        <v>82</v>
      </c>
      <c r="C129" s="206" t="s">
        <v>102</v>
      </c>
      <c r="D129" s="202" t="s">
        <v>33</v>
      </c>
      <c r="E129" s="203">
        <v>10</v>
      </c>
      <c r="F129" s="204">
        <v>8534.84</v>
      </c>
      <c r="G129" s="205">
        <f t="shared" si="19"/>
        <v>85348.4</v>
      </c>
    </row>
    <row r="130" spans="1:7" s="126" customFormat="1" ht="44.1" customHeight="1">
      <c r="A130" s="198">
        <v>14</v>
      </c>
      <c r="B130" s="200" t="s">
        <v>82</v>
      </c>
      <c r="C130" s="201" t="s">
        <v>101</v>
      </c>
      <c r="D130" s="207" t="s">
        <v>100</v>
      </c>
      <c r="E130" s="203">
        <v>3</v>
      </c>
      <c r="F130" s="204">
        <v>2883.19</v>
      </c>
      <c r="G130" s="205">
        <f t="shared" si="19"/>
        <v>8649.57</v>
      </c>
    </row>
    <row r="131" spans="1:7" s="126" customFormat="1" ht="32.1" customHeight="1">
      <c r="A131" s="198">
        <v>15</v>
      </c>
      <c r="B131" s="200" t="s">
        <v>82</v>
      </c>
      <c r="C131" s="206" t="s">
        <v>87</v>
      </c>
      <c r="D131" s="202" t="s">
        <v>33</v>
      </c>
      <c r="E131" s="203">
        <v>2</v>
      </c>
      <c r="F131" s="204">
        <v>1660.68</v>
      </c>
      <c r="G131" s="205">
        <f t="shared" si="19"/>
        <v>3321.36</v>
      </c>
    </row>
    <row r="132" spans="1:7" s="126" customFormat="1" ht="44.1" customHeight="1">
      <c r="A132" s="198">
        <v>16</v>
      </c>
      <c r="B132" s="200" t="s">
        <v>82</v>
      </c>
      <c r="C132" s="206" t="s">
        <v>86</v>
      </c>
      <c r="D132" s="202" t="s">
        <v>33</v>
      </c>
      <c r="E132" s="203">
        <v>25</v>
      </c>
      <c r="F132" s="204">
        <v>14819.22</v>
      </c>
      <c r="G132" s="205">
        <f t="shared" si="19"/>
        <v>370480.5</v>
      </c>
    </row>
    <row r="133" spans="1:7" s="126" customFormat="1" ht="32.1" customHeight="1">
      <c r="A133" s="198">
        <v>17</v>
      </c>
      <c r="B133" s="200" t="s">
        <v>82</v>
      </c>
      <c r="C133" s="206" t="s">
        <v>99</v>
      </c>
      <c r="D133" s="202" t="s">
        <v>33</v>
      </c>
      <c r="E133" s="203">
        <v>2</v>
      </c>
      <c r="F133" s="204">
        <v>7807.42</v>
      </c>
      <c r="G133" s="205">
        <f t="shared" si="19"/>
        <v>15614.84</v>
      </c>
    </row>
    <row r="134" spans="1:7" s="126" customFormat="1" ht="32.1" customHeight="1">
      <c r="A134" s="198">
        <v>18</v>
      </c>
      <c r="B134" s="200" t="s">
        <v>82</v>
      </c>
      <c r="C134" s="206" t="s">
        <v>98</v>
      </c>
      <c r="D134" s="202" t="s">
        <v>33</v>
      </c>
      <c r="E134" s="203">
        <v>3</v>
      </c>
      <c r="F134" s="204">
        <v>11245.99</v>
      </c>
      <c r="G134" s="205">
        <f t="shared" si="19"/>
        <v>33737.97</v>
      </c>
    </row>
    <row r="135" spans="1:7" s="126" customFormat="1" ht="32.1" customHeight="1">
      <c r="A135" s="198">
        <v>19</v>
      </c>
      <c r="B135" s="200" t="s">
        <v>82</v>
      </c>
      <c r="C135" s="206" t="s">
        <v>97</v>
      </c>
      <c r="D135" s="202" t="s">
        <v>33</v>
      </c>
      <c r="E135" s="203">
        <v>2</v>
      </c>
      <c r="F135" s="204">
        <v>11406.94</v>
      </c>
      <c r="G135" s="205">
        <f t="shared" si="19"/>
        <v>22813.88</v>
      </c>
    </row>
    <row r="136" spans="1:7" s="126" customFormat="1" ht="44.1" customHeight="1">
      <c r="A136" s="198">
        <v>20</v>
      </c>
      <c r="B136" s="200" t="s">
        <v>82</v>
      </c>
      <c r="C136" s="206" t="s">
        <v>85</v>
      </c>
      <c r="D136" s="202" t="s">
        <v>33</v>
      </c>
      <c r="E136" s="203">
        <v>1</v>
      </c>
      <c r="F136" s="204">
        <v>1218.29</v>
      </c>
      <c r="G136" s="205">
        <f t="shared" si="19"/>
        <v>1218.29</v>
      </c>
    </row>
    <row r="137" spans="1:7" s="126" customFormat="1" ht="44.1" customHeight="1">
      <c r="A137" s="198">
        <v>21</v>
      </c>
      <c r="B137" s="200" t="s">
        <v>82</v>
      </c>
      <c r="C137" s="208" t="s">
        <v>125</v>
      </c>
      <c r="D137" s="202" t="s">
        <v>84</v>
      </c>
      <c r="E137" s="203">
        <v>1</v>
      </c>
      <c r="F137" s="204">
        <v>3540.05</v>
      </c>
      <c r="G137" s="205">
        <f t="shared" si="19"/>
        <v>3540.05</v>
      </c>
    </row>
    <row r="138" spans="1:7" s="126" customFormat="1" ht="44.1" customHeight="1">
      <c r="A138" s="198">
        <v>22</v>
      </c>
      <c r="B138" s="200" t="s">
        <v>82</v>
      </c>
      <c r="C138" s="208" t="s">
        <v>126</v>
      </c>
      <c r="D138" s="202" t="s">
        <v>84</v>
      </c>
      <c r="E138" s="203">
        <v>2</v>
      </c>
      <c r="F138" s="204">
        <v>763.29</v>
      </c>
      <c r="G138" s="205">
        <f t="shared" si="19"/>
        <v>1526.58</v>
      </c>
    </row>
    <row r="139" spans="1:7" s="126" customFormat="1" ht="44.1" customHeight="1">
      <c r="A139" s="198">
        <v>23</v>
      </c>
      <c r="B139" s="200" t="s">
        <v>82</v>
      </c>
      <c r="C139" s="208" t="s">
        <v>124</v>
      </c>
      <c r="D139" s="199" t="s">
        <v>84</v>
      </c>
      <c r="E139" s="199">
        <v>18</v>
      </c>
      <c r="F139" s="204">
        <v>355.29</v>
      </c>
      <c r="G139" s="205">
        <f t="shared" si="19"/>
        <v>6395.22</v>
      </c>
    </row>
    <row r="140" spans="1:7" s="126" customFormat="1" ht="32.1" customHeight="1" thickBot="1">
      <c r="A140" s="209">
        <v>24</v>
      </c>
      <c r="B140" s="211" t="s">
        <v>82</v>
      </c>
      <c r="C140" s="212" t="s">
        <v>83</v>
      </c>
      <c r="D140" s="210" t="s">
        <v>81</v>
      </c>
      <c r="E140" s="210">
        <v>521.6</v>
      </c>
      <c r="F140" s="213">
        <v>33</v>
      </c>
      <c r="G140" s="214">
        <f t="shared" si="19"/>
        <v>17212.8</v>
      </c>
    </row>
    <row r="141" spans="1:7" ht="20.100000000000001" customHeight="1" thickBot="1">
      <c r="A141" s="142"/>
      <c r="B141" s="48"/>
      <c r="C141" s="52" t="s">
        <v>116</v>
      </c>
      <c r="D141" s="49"/>
      <c r="E141" s="141"/>
      <c r="F141" s="140"/>
      <c r="G141" s="168">
        <f>SUM(G124:G140)</f>
        <v>796419.46</v>
      </c>
    </row>
    <row r="142" spans="1:7" ht="35.1" customHeight="1" thickBot="1">
      <c r="A142" s="153"/>
      <c r="B142" s="154"/>
      <c r="C142" s="155" t="s">
        <v>114</v>
      </c>
      <c r="D142" s="154"/>
      <c r="E142" s="156"/>
      <c r="F142" s="157"/>
      <c r="G142" s="169">
        <f>G141+G122</f>
        <v>1118812.27</v>
      </c>
    </row>
    <row r="143" spans="1:7" s="126" customFormat="1" ht="20.100000000000001" customHeight="1">
      <c r="A143" s="35"/>
      <c r="B143" s="114" t="s">
        <v>29</v>
      </c>
      <c r="C143" s="114"/>
      <c r="D143" s="114"/>
      <c r="E143" s="114"/>
      <c r="F143" s="114"/>
      <c r="G143" s="139"/>
    </row>
    <row r="144" spans="1:7" s="126" customFormat="1" ht="15">
      <c r="A144" s="36"/>
      <c r="B144" s="132"/>
      <c r="C144" s="131"/>
      <c r="D144" s="114"/>
      <c r="E144" s="114"/>
      <c r="F144" s="114"/>
      <c r="G144" s="114"/>
    </row>
    <row r="145" spans="1:7" s="5" customFormat="1">
      <c r="A145" s="135"/>
      <c r="B145" s="132"/>
      <c r="C145" s="131"/>
      <c r="D145" s="114"/>
      <c r="E145" s="114"/>
      <c r="F145" s="114"/>
      <c r="G145" s="114"/>
    </row>
    <row r="146" spans="1:7" s="138" customFormat="1" ht="25.5" customHeight="1">
      <c r="A146" s="135"/>
      <c r="B146" s="132"/>
      <c r="C146" s="131"/>
      <c r="E146" s="3" t="s">
        <v>10</v>
      </c>
      <c r="F146" s="114"/>
      <c r="G146" s="114"/>
    </row>
    <row r="147" spans="1:7" s="126" customFormat="1" ht="15" hidden="1" customHeight="1">
      <c r="A147" s="136">
        <v>59</v>
      </c>
      <c r="B147" s="132"/>
      <c r="C147" s="131"/>
      <c r="D147" s="114"/>
      <c r="E147" s="114"/>
      <c r="F147" s="3"/>
      <c r="G147" s="130"/>
    </row>
    <row r="148" spans="1:7" s="126" customFormat="1" ht="13.5" hidden="1" customHeight="1">
      <c r="A148" s="136">
        <v>59</v>
      </c>
      <c r="B148" s="132"/>
      <c r="C148" s="131"/>
      <c r="D148" s="114"/>
      <c r="E148" s="114"/>
      <c r="F148" s="3"/>
      <c r="G148" s="137"/>
    </row>
    <row r="149" spans="1:7" s="126" customFormat="1" ht="13.5" hidden="1" customHeight="1">
      <c r="A149" s="136">
        <v>60</v>
      </c>
      <c r="B149" s="132"/>
      <c r="C149" s="131"/>
      <c r="D149" s="114"/>
      <c r="E149" s="114"/>
      <c r="F149" s="3"/>
      <c r="G149" s="130"/>
    </row>
    <row r="150" spans="1:7" s="126" customFormat="1" ht="15" hidden="1" customHeight="1">
      <c r="A150" s="134"/>
      <c r="B150" s="132"/>
      <c r="C150" s="131"/>
      <c r="D150" s="3"/>
      <c r="E150" s="114"/>
      <c r="F150" s="3"/>
      <c r="G150" s="130"/>
    </row>
    <row r="151" spans="1:7" s="126" customFormat="1" ht="15" hidden="1" customHeight="1">
      <c r="A151" s="133"/>
      <c r="B151" s="132"/>
      <c r="C151" s="131"/>
      <c r="D151" s="3"/>
      <c r="E151" s="114"/>
      <c r="F151" s="3"/>
      <c r="G151" s="130"/>
    </row>
    <row r="152" spans="1:7" s="126" customFormat="1" ht="14.25" hidden="1">
      <c r="A152" s="133"/>
      <c r="B152" s="132"/>
      <c r="C152" s="131"/>
      <c r="D152" s="3" t="s">
        <v>107</v>
      </c>
      <c r="E152" s="114"/>
      <c r="F152" s="3"/>
      <c r="G152" s="130"/>
    </row>
    <row r="153" spans="1:7" s="40" customFormat="1" hidden="1">
      <c r="A153" s="133"/>
      <c r="B153" s="132"/>
      <c r="C153" s="131"/>
      <c r="D153" s="114"/>
      <c r="E153" s="114"/>
      <c r="F153" s="114"/>
      <c r="G153" s="130"/>
    </row>
    <row r="154" spans="1:7" s="40" customFormat="1" hidden="1">
      <c r="A154" s="133"/>
      <c r="B154" s="132"/>
      <c r="C154" s="131"/>
      <c r="D154" s="114"/>
      <c r="E154" s="114"/>
      <c r="F154" s="114"/>
      <c r="G154" s="130"/>
    </row>
    <row r="155" spans="1:7" s="40" customFormat="1" ht="44.25" customHeight="1">
      <c r="A155" s="128"/>
      <c r="B155" s="128"/>
      <c r="C155" s="127"/>
    </row>
    <row r="156" spans="1:7" s="126" customFormat="1" ht="14.1" customHeight="1">
      <c r="A156" s="128"/>
      <c r="B156" s="128"/>
      <c r="C156" s="127"/>
      <c r="D156" s="40"/>
      <c r="E156" s="129" t="s">
        <v>122</v>
      </c>
      <c r="F156" s="40"/>
      <c r="G156" s="40"/>
    </row>
    <row r="157" spans="1:7" s="126" customFormat="1">
      <c r="A157" s="128"/>
      <c r="B157" s="128"/>
      <c r="C157" s="127"/>
      <c r="D157" s="40"/>
      <c r="E157" s="40"/>
      <c r="F157" s="40"/>
      <c r="G157" s="40"/>
    </row>
    <row r="161" spans="7:7">
      <c r="G161" s="225"/>
    </row>
    <row r="296" spans="1:1">
      <c r="A296" s="10">
        <v>34</v>
      </c>
    </row>
  </sheetData>
  <mergeCells count="10">
    <mergeCell ref="I85:P85"/>
    <mergeCell ref="A84:G84"/>
    <mergeCell ref="A4:G4"/>
    <mergeCell ref="A85:G85"/>
    <mergeCell ref="A43:G43"/>
    <mergeCell ref="A1:G1"/>
    <mergeCell ref="A2:G2"/>
    <mergeCell ref="A42:G42"/>
    <mergeCell ref="A3:G3"/>
    <mergeCell ref="A111:G111"/>
  </mergeCells>
  <pageMargins left="0.86614173228346458" right="0.23622047244094491" top="0.51181102362204722" bottom="0.9055118110236221" header="0.31496062992125984" footer="0.39370078740157483"/>
  <pageSetup paperSize="9" scale="75" orientation="portrait" horizontalDpi="4294967295" verticalDpi="300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0"/>
  </sheetPr>
  <dimension ref="A1:E274"/>
  <sheetViews>
    <sheetView showZeros="0" zoomScaleNormal="100" zoomScaleSheetLayoutView="110" workbookViewId="0">
      <selection activeCell="B49" sqref="B49"/>
    </sheetView>
  </sheetViews>
  <sheetFormatPr defaultRowHeight="12.75"/>
  <cols>
    <col min="1" max="1" width="4.7109375" style="10" customWidth="1"/>
    <col min="2" max="2" width="13.140625" style="10" customWidth="1"/>
    <col min="3" max="3" width="57.85546875" style="11" customWidth="1"/>
    <col min="4" max="4" width="8.5703125" style="7" customWidth="1"/>
    <col min="5" max="5" width="10.7109375" style="7" customWidth="1"/>
    <col min="6" max="16384" width="9.140625" style="1"/>
  </cols>
  <sheetData>
    <row r="1" spans="1:5" ht="25.5" customHeight="1">
      <c r="A1" s="546" t="s">
        <v>156</v>
      </c>
      <c r="B1" s="546"/>
      <c r="C1" s="546"/>
      <c r="D1" s="546"/>
      <c r="E1" s="546"/>
    </row>
    <row r="2" spans="1:5" s="2" customFormat="1" ht="31.5" customHeight="1">
      <c r="A2" s="547" t="s">
        <v>157</v>
      </c>
      <c r="B2" s="547"/>
      <c r="C2" s="547"/>
      <c r="D2" s="547"/>
      <c r="E2" s="547"/>
    </row>
    <row r="3" spans="1:5" ht="25.5" customHeight="1">
      <c r="A3" s="550" t="s">
        <v>104</v>
      </c>
      <c r="B3" s="550"/>
      <c r="C3" s="550"/>
      <c r="D3" s="550"/>
      <c r="E3" s="550"/>
    </row>
    <row r="4" spans="1:5" ht="25.5" customHeight="1">
      <c r="A4" s="547" t="s">
        <v>127</v>
      </c>
      <c r="B4" s="547"/>
      <c r="C4" s="547"/>
      <c r="D4" s="547"/>
      <c r="E4" s="547"/>
    </row>
    <row r="5" spans="1:5" ht="8.25" customHeight="1" thickBot="1">
      <c r="A5" s="6"/>
      <c r="B5" s="6"/>
      <c r="C5" s="54"/>
      <c r="D5" s="6"/>
      <c r="E5" s="6"/>
    </row>
    <row r="6" spans="1:5" ht="39.950000000000003" customHeight="1">
      <c r="A6" s="42" t="s">
        <v>1</v>
      </c>
      <c r="B6" s="43" t="s">
        <v>23</v>
      </c>
      <c r="C6" s="44" t="s">
        <v>3</v>
      </c>
      <c r="D6" s="43" t="s">
        <v>17</v>
      </c>
      <c r="E6" s="227" t="s">
        <v>16</v>
      </c>
    </row>
    <row r="7" spans="1:5" s="15" customFormat="1" ht="20.100000000000001" customHeight="1" thickBot="1">
      <c r="A7" s="46">
        <v>1</v>
      </c>
      <c r="B7" s="16">
        <v>2</v>
      </c>
      <c r="C7" s="16">
        <v>3</v>
      </c>
      <c r="D7" s="16">
        <v>4</v>
      </c>
      <c r="E7" s="228">
        <v>5</v>
      </c>
    </row>
    <row r="8" spans="1:5" s="15" customFormat="1" ht="20.100000000000001" customHeight="1" thickTop="1" thickBot="1">
      <c r="A8" s="63"/>
      <c r="B8" s="64"/>
      <c r="C8" s="53" t="s">
        <v>2</v>
      </c>
      <c r="D8" s="64"/>
      <c r="E8" s="229"/>
    </row>
    <row r="9" spans="1:5" s="4" customFormat="1" ht="20.100000000000001" customHeight="1" thickTop="1">
      <c r="A9" s="57">
        <v>1</v>
      </c>
      <c r="B9" s="58" t="s">
        <v>55</v>
      </c>
      <c r="C9" s="59" t="s">
        <v>15</v>
      </c>
      <c r="D9" s="58" t="s">
        <v>0</v>
      </c>
      <c r="E9" s="230">
        <v>0.2</v>
      </c>
    </row>
    <row r="10" spans="1:5" s="4" customFormat="1" ht="35.1" customHeight="1">
      <c r="A10" s="68">
        <v>2</v>
      </c>
      <c r="B10" s="39" t="s">
        <v>58</v>
      </c>
      <c r="C10" s="69" t="s">
        <v>69</v>
      </c>
      <c r="D10" s="39" t="s">
        <v>33</v>
      </c>
      <c r="E10" s="231">
        <v>30</v>
      </c>
    </row>
    <row r="11" spans="1:5" s="4" customFormat="1" ht="20.100000000000001" customHeight="1">
      <c r="A11" s="68">
        <v>3</v>
      </c>
      <c r="B11" s="39" t="s">
        <v>58</v>
      </c>
      <c r="C11" s="69" t="s">
        <v>70</v>
      </c>
      <c r="D11" s="39" t="s">
        <v>33</v>
      </c>
      <c r="E11" s="231">
        <v>5</v>
      </c>
    </row>
    <row r="12" spans="1:5" s="4" customFormat="1" ht="20.100000000000001" customHeight="1">
      <c r="A12" s="68">
        <v>4</v>
      </c>
      <c r="B12" s="39" t="s">
        <v>46</v>
      </c>
      <c r="C12" s="69" t="s">
        <v>54</v>
      </c>
      <c r="D12" s="93" t="s">
        <v>22</v>
      </c>
      <c r="E12" s="231">
        <v>60</v>
      </c>
    </row>
    <row r="13" spans="1:5" s="4" customFormat="1" ht="20.100000000000001" customHeight="1">
      <c r="A13" s="68">
        <v>5</v>
      </c>
      <c r="B13" s="39" t="s">
        <v>46</v>
      </c>
      <c r="C13" s="69" t="s">
        <v>68</v>
      </c>
      <c r="D13" s="93" t="s">
        <v>22</v>
      </c>
      <c r="E13" s="231">
        <v>120</v>
      </c>
    </row>
    <row r="14" spans="1:5" s="4" customFormat="1" ht="20.100000000000001" customHeight="1" thickBot="1">
      <c r="A14" s="71">
        <v>6</v>
      </c>
      <c r="B14" s="72" t="s">
        <v>46</v>
      </c>
      <c r="C14" s="73" t="s">
        <v>67</v>
      </c>
      <c r="D14" s="102" t="s">
        <v>22</v>
      </c>
      <c r="E14" s="232">
        <v>180</v>
      </c>
    </row>
    <row r="15" spans="1:5" s="4" customFormat="1" ht="20.100000000000001" customHeight="1" thickTop="1" thickBot="1">
      <c r="A15" s="63"/>
      <c r="B15" s="64"/>
      <c r="C15" s="53" t="s">
        <v>37</v>
      </c>
      <c r="D15" s="64"/>
      <c r="E15" s="229"/>
    </row>
    <row r="16" spans="1:5" s="4" customFormat="1" ht="20.100000000000001" customHeight="1" thickTop="1">
      <c r="A16" s="75">
        <v>7</v>
      </c>
      <c r="B16" s="76" t="s">
        <v>36</v>
      </c>
      <c r="C16" s="61" t="s">
        <v>62</v>
      </c>
      <c r="D16" s="76" t="s">
        <v>75</v>
      </c>
      <c r="E16" s="233">
        <v>630</v>
      </c>
    </row>
    <row r="17" spans="1:5" s="4" customFormat="1" ht="20.100000000000001" customHeight="1">
      <c r="A17" s="68">
        <v>8</v>
      </c>
      <c r="B17" s="39" t="s">
        <v>36</v>
      </c>
      <c r="C17" s="69" t="s">
        <v>77</v>
      </c>
      <c r="D17" s="39" t="s">
        <v>75</v>
      </c>
      <c r="E17" s="234">
        <v>1696.3</v>
      </c>
    </row>
    <row r="18" spans="1:5" s="4" customFormat="1" ht="20.100000000000001" customHeight="1">
      <c r="A18" s="68">
        <v>9</v>
      </c>
      <c r="B18" s="39" t="s">
        <v>61</v>
      </c>
      <c r="C18" s="69" t="s">
        <v>78</v>
      </c>
      <c r="D18" s="39" t="s">
        <v>75</v>
      </c>
      <c r="E18" s="234">
        <v>682.5</v>
      </c>
    </row>
    <row r="19" spans="1:5" s="4" customFormat="1" ht="20.100000000000001" customHeight="1" thickBot="1">
      <c r="A19" s="79">
        <v>10</v>
      </c>
      <c r="B19" s="72" t="s">
        <v>31</v>
      </c>
      <c r="C19" s="80" t="s">
        <v>34</v>
      </c>
      <c r="D19" s="102" t="s">
        <v>22</v>
      </c>
      <c r="E19" s="235">
        <v>2541</v>
      </c>
    </row>
    <row r="20" spans="1:5" s="4" customFormat="1" ht="20.100000000000001" customHeight="1" thickTop="1" thickBot="1">
      <c r="A20" s="63"/>
      <c r="B20" s="64"/>
      <c r="C20" s="53" t="s">
        <v>41</v>
      </c>
      <c r="D20" s="64"/>
      <c r="E20" s="229"/>
    </row>
    <row r="21" spans="1:5" s="4" customFormat="1" ht="35.1" customHeight="1" thickTop="1">
      <c r="A21" s="86" t="s">
        <v>71</v>
      </c>
      <c r="B21" s="87" t="s">
        <v>35</v>
      </c>
      <c r="C21" s="88" t="s">
        <v>131</v>
      </c>
      <c r="D21" s="102" t="s">
        <v>22</v>
      </c>
      <c r="E21" s="236">
        <v>2424</v>
      </c>
    </row>
    <row r="22" spans="1:5" s="4" customFormat="1" ht="35.1" customHeight="1">
      <c r="A22" s="90" t="s">
        <v>72</v>
      </c>
      <c r="B22" s="91" t="s">
        <v>48</v>
      </c>
      <c r="C22" s="92" t="s">
        <v>132</v>
      </c>
      <c r="D22" s="93" t="s">
        <v>22</v>
      </c>
      <c r="E22" s="237">
        <v>2424</v>
      </c>
    </row>
    <row r="23" spans="1:5" s="4" customFormat="1" ht="35.1" customHeight="1" thickBot="1">
      <c r="A23" s="95">
        <v>13</v>
      </c>
      <c r="B23" s="104" t="s">
        <v>76</v>
      </c>
      <c r="C23" s="73" t="s">
        <v>63</v>
      </c>
      <c r="D23" s="102" t="s">
        <v>22</v>
      </c>
      <c r="E23" s="238">
        <v>117</v>
      </c>
    </row>
    <row r="24" spans="1:5" s="4" customFormat="1" ht="20.100000000000001" customHeight="1" thickTop="1" thickBot="1">
      <c r="A24" s="63"/>
      <c r="B24" s="64"/>
      <c r="C24" s="53" t="s">
        <v>38</v>
      </c>
      <c r="D24" s="64"/>
      <c r="E24" s="229"/>
    </row>
    <row r="25" spans="1:5" s="4" customFormat="1" ht="35.1" customHeight="1" thickTop="1">
      <c r="A25" s="98">
        <v>14</v>
      </c>
      <c r="B25" s="105" t="s">
        <v>59</v>
      </c>
      <c r="C25" s="99" t="s">
        <v>133</v>
      </c>
      <c r="D25" s="102" t="s">
        <v>22</v>
      </c>
      <c r="E25" s="233">
        <v>1668</v>
      </c>
    </row>
    <row r="26" spans="1:5" s="4" customFormat="1" ht="35.1" customHeight="1">
      <c r="A26" s="101">
        <v>15</v>
      </c>
      <c r="B26" s="38" t="s">
        <v>56</v>
      </c>
      <c r="C26" s="69" t="s">
        <v>64</v>
      </c>
      <c r="D26" s="93" t="s">
        <v>22</v>
      </c>
      <c r="E26" s="239">
        <v>756</v>
      </c>
    </row>
    <row r="27" spans="1:5" s="4" customFormat="1" ht="35.1" customHeight="1" thickBot="1">
      <c r="A27" s="95">
        <v>16</v>
      </c>
      <c r="B27" s="104" t="s">
        <v>59</v>
      </c>
      <c r="C27" s="73" t="s">
        <v>65</v>
      </c>
      <c r="D27" s="102" t="s">
        <v>22</v>
      </c>
      <c r="E27" s="235">
        <v>117</v>
      </c>
    </row>
    <row r="28" spans="1:5" s="4" customFormat="1" ht="20.100000000000001" customHeight="1" thickTop="1" thickBot="1">
      <c r="A28" s="63"/>
      <c r="B28" s="64"/>
      <c r="C28" s="53" t="s">
        <v>39</v>
      </c>
      <c r="D28" s="64"/>
      <c r="E28" s="229"/>
    </row>
    <row r="29" spans="1:5" s="4" customFormat="1" ht="35.1" customHeight="1" thickTop="1">
      <c r="A29" s="98">
        <v>17</v>
      </c>
      <c r="B29" s="105" t="s">
        <v>12</v>
      </c>
      <c r="C29" s="99" t="s">
        <v>66</v>
      </c>
      <c r="D29" s="100" t="s">
        <v>13</v>
      </c>
      <c r="E29" s="233">
        <v>209</v>
      </c>
    </row>
    <row r="30" spans="1:5" s="4" customFormat="1" ht="20.100000000000001" customHeight="1">
      <c r="A30" s="101">
        <v>18</v>
      </c>
      <c r="B30" s="38" t="s">
        <v>57</v>
      </c>
      <c r="C30" s="69" t="s">
        <v>53</v>
      </c>
      <c r="D30" s="102" t="s">
        <v>13</v>
      </c>
      <c r="E30" s="239">
        <v>384</v>
      </c>
    </row>
    <row r="31" spans="1:5" s="4" customFormat="1" ht="20.100000000000001" customHeight="1">
      <c r="A31" s="273">
        <v>19</v>
      </c>
      <c r="B31" s="38" t="s">
        <v>143</v>
      </c>
      <c r="C31" s="271" t="s">
        <v>144</v>
      </c>
      <c r="D31" s="102" t="s">
        <v>13</v>
      </c>
      <c r="E31" s="237">
        <v>80</v>
      </c>
    </row>
    <row r="32" spans="1:5" s="4" customFormat="1" ht="35.1" customHeight="1" thickBot="1">
      <c r="A32" s="95">
        <v>20</v>
      </c>
      <c r="B32" s="104" t="s">
        <v>52</v>
      </c>
      <c r="C32" s="73" t="s">
        <v>51</v>
      </c>
      <c r="D32" s="96" t="s">
        <v>13</v>
      </c>
      <c r="E32" s="235">
        <v>322</v>
      </c>
    </row>
    <row r="33" spans="1:5" s="4" customFormat="1" ht="20.100000000000001" customHeight="1" thickTop="1" thickBot="1">
      <c r="A33" s="63"/>
      <c r="B33" s="64"/>
      <c r="C33" s="53" t="s">
        <v>79</v>
      </c>
      <c r="D33" s="64"/>
      <c r="E33" s="229"/>
    </row>
    <row r="34" spans="1:5" s="4" customFormat="1" ht="20.100000000000001" customHeight="1" thickTop="1" thickBot="1">
      <c r="A34" s="251">
        <v>21</v>
      </c>
      <c r="B34" s="252" t="s">
        <v>36</v>
      </c>
      <c r="C34" s="253" t="s">
        <v>60</v>
      </c>
      <c r="D34" s="254" t="s">
        <v>22</v>
      </c>
      <c r="E34" s="255">
        <v>297</v>
      </c>
    </row>
    <row r="35" spans="1:5" s="2" customFormat="1" ht="15" customHeight="1">
      <c r="A35" s="548"/>
      <c r="B35" s="549"/>
      <c r="C35" s="549"/>
      <c r="D35" s="549"/>
      <c r="E35" s="549"/>
    </row>
    <row r="36" spans="1:5" s="2" customFormat="1" ht="25.5" customHeight="1">
      <c r="A36" s="547" t="s">
        <v>123</v>
      </c>
      <c r="B36" s="547"/>
      <c r="C36" s="547"/>
      <c r="D36" s="547"/>
      <c r="E36" s="547"/>
    </row>
    <row r="37" spans="1:5" s="126" customFormat="1" ht="8.25" customHeight="1" thickBot="1">
      <c r="A37" s="124" t="s">
        <v>113</v>
      </c>
      <c r="B37" s="124"/>
      <c r="C37" s="125"/>
      <c r="D37" s="124"/>
      <c r="E37" s="124"/>
    </row>
    <row r="38" spans="1:5" ht="39.950000000000003" customHeight="1">
      <c r="A38" s="42" t="s">
        <v>1</v>
      </c>
      <c r="B38" s="43" t="s">
        <v>23</v>
      </c>
      <c r="C38" s="44" t="s">
        <v>3</v>
      </c>
      <c r="D38" s="43" t="s">
        <v>17</v>
      </c>
      <c r="E38" s="227" t="s">
        <v>16</v>
      </c>
    </row>
    <row r="39" spans="1:5" s="15" customFormat="1" ht="20.100000000000001" customHeight="1" thickBot="1">
      <c r="A39" s="46">
        <v>1</v>
      </c>
      <c r="B39" s="16">
        <v>2</v>
      </c>
      <c r="C39" s="16">
        <v>3</v>
      </c>
      <c r="D39" s="16">
        <v>4</v>
      </c>
      <c r="E39" s="228">
        <v>5</v>
      </c>
    </row>
    <row r="40" spans="1:5" s="15" customFormat="1" ht="20.100000000000001" customHeight="1" thickTop="1" thickBot="1">
      <c r="A40" s="63"/>
      <c r="B40" s="64"/>
      <c r="C40" s="53" t="s">
        <v>2</v>
      </c>
      <c r="D40" s="64"/>
      <c r="E40" s="229"/>
    </row>
    <row r="41" spans="1:5" s="4" customFormat="1" ht="20.100000000000001" customHeight="1" thickTop="1">
      <c r="A41" s="57">
        <v>1</v>
      </c>
      <c r="B41" s="58" t="s">
        <v>55</v>
      </c>
      <c r="C41" s="59" t="s">
        <v>15</v>
      </c>
      <c r="D41" s="58" t="s">
        <v>0</v>
      </c>
      <c r="E41" s="230">
        <v>0.4</v>
      </c>
    </row>
    <row r="42" spans="1:5" s="4" customFormat="1" ht="35.1" customHeight="1">
      <c r="A42" s="68">
        <v>2</v>
      </c>
      <c r="B42" s="39" t="s">
        <v>58</v>
      </c>
      <c r="C42" s="69" t="s">
        <v>69</v>
      </c>
      <c r="D42" s="39" t="s">
        <v>33</v>
      </c>
      <c r="E42" s="234">
        <v>45</v>
      </c>
    </row>
    <row r="43" spans="1:5" s="4" customFormat="1" ht="20.100000000000001" customHeight="1">
      <c r="A43" s="68">
        <v>3</v>
      </c>
      <c r="B43" s="39" t="s">
        <v>58</v>
      </c>
      <c r="C43" s="69" t="s">
        <v>70</v>
      </c>
      <c r="D43" s="39" t="s">
        <v>33</v>
      </c>
      <c r="E43" s="234">
        <v>14</v>
      </c>
    </row>
    <row r="44" spans="1:5" s="4" customFormat="1" ht="20.100000000000001" customHeight="1">
      <c r="A44" s="68">
        <v>4</v>
      </c>
      <c r="B44" s="39" t="s">
        <v>46</v>
      </c>
      <c r="C44" s="69" t="s">
        <v>54</v>
      </c>
      <c r="D44" s="102" t="s">
        <v>22</v>
      </c>
      <c r="E44" s="234">
        <v>167.5</v>
      </c>
    </row>
    <row r="45" spans="1:5" s="4" customFormat="1" ht="20.100000000000001" customHeight="1" thickBot="1">
      <c r="A45" s="68">
        <v>5</v>
      </c>
      <c r="B45" s="39" t="s">
        <v>46</v>
      </c>
      <c r="C45" s="69" t="s">
        <v>67</v>
      </c>
      <c r="D45" s="96" t="s">
        <v>22</v>
      </c>
      <c r="E45" s="234">
        <v>167.5</v>
      </c>
    </row>
    <row r="46" spans="1:5" s="126" customFormat="1" ht="20.100000000000001" customHeight="1" thickTop="1" thickBot="1">
      <c r="A46" s="148"/>
      <c r="B46" s="147"/>
      <c r="C46" s="53" t="s">
        <v>37</v>
      </c>
      <c r="D46" s="146"/>
      <c r="E46" s="240"/>
    </row>
    <row r="47" spans="1:5" s="126" customFormat="1" ht="20.100000000000001" customHeight="1" thickTop="1">
      <c r="A47" s="256">
        <v>6</v>
      </c>
      <c r="B47" s="58" t="s">
        <v>36</v>
      </c>
      <c r="C47" s="99" t="s">
        <v>112</v>
      </c>
      <c r="D47" s="58" t="s">
        <v>75</v>
      </c>
      <c r="E47" s="230">
        <f>5325*0.6</f>
        <v>3195</v>
      </c>
    </row>
    <row r="48" spans="1:5" s="126" customFormat="1" ht="20.100000000000001" customHeight="1" thickBot="1">
      <c r="A48" s="259">
        <v>7</v>
      </c>
      <c r="B48" s="72" t="s">
        <v>31</v>
      </c>
      <c r="C48" s="80" t="s">
        <v>34</v>
      </c>
      <c r="D48" s="96" t="s">
        <v>22</v>
      </c>
      <c r="E48" s="238">
        <f>4684+641</f>
        <v>5325</v>
      </c>
    </row>
    <row r="49" spans="1:5" s="126" customFormat="1" ht="20.100000000000001" customHeight="1" thickTop="1" thickBot="1">
      <c r="A49" s="148"/>
      <c r="B49" s="147"/>
      <c r="C49" s="53" t="s">
        <v>41</v>
      </c>
      <c r="D49" s="146"/>
      <c r="E49" s="240"/>
    </row>
    <row r="50" spans="1:5" s="126" customFormat="1" ht="35.1" customHeight="1" thickTop="1">
      <c r="A50" s="86" t="s">
        <v>111</v>
      </c>
      <c r="B50" s="87" t="s">
        <v>35</v>
      </c>
      <c r="C50" s="99" t="s">
        <v>131</v>
      </c>
      <c r="D50" s="100" t="s">
        <v>22</v>
      </c>
      <c r="E50" s="230">
        <f>443+1405+2836</f>
        <v>4684</v>
      </c>
    </row>
    <row r="51" spans="1:5" s="126" customFormat="1" ht="35.1" customHeight="1">
      <c r="A51" s="90" t="s">
        <v>110</v>
      </c>
      <c r="B51" s="91" t="s">
        <v>48</v>
      </c>
      <c r="C51" s="69" t="s">
        <v>149</v>
      </c>
      <c r="D51" s="102" t="s">
        <v>22</v>
      </c>
      <c r="E51" s="237">
        <v>4684</v>
      </c>
    </row>
    <row r="52" spans="1:5" s="126" customFormat="1" ht="35.1" customHeight="1" thickBot="1">
      <c r="A52" s="149">
        <v>10</v>
      </c>
      <c r="B52" s="104" t="s">
        <v>48</v>
      </c>
      <c r="C52" s="73" t="s">
        <v>109</v>
      </c>
      <c r="D52" s="96" t="s">
        <v>22</v>
      </c>
      <c r="E52" s="238">
        <v>641</v>
      </c>
    </row>
    <row r="53" spans="1:5" s="126" customFormat="1" ht="20.100000000000001" customHeight="1" thickTop="1" thickBot="1">
      <c r="A53" s="148"/>
      <c r="B53" s="147"/>
      <c r="C53" s="53" t="s">
        <v>38</v>
      </c>
      <c r="D53" s="146"/>
      <c r="E53" s="240"/>
    </row>
    <row r="54" spans="1:5" s="126" customFormat="1" ht="35.1" customHeight="1" thickTop="1">
      <c r="A54" s="150">
        <v>11</v>
      </c>
      <c r="B54" s="105" t="s">
        <v>59</v>
      </c>
      <c r="C54" s="99" t="s">
        <v>108</v>
      </c>
      <c r="D54" s="100" t="s">
        <v>22</v>
      </c>
      <c r="E54" s="241">
        <v>2836</v>
      </c>
    </row>
    <row r="55" spans="1:5" s="126" customFormat="1" ht="35.1" customHeight="1">
      <c r="A55" s="151">
        <v>12</v>
      </c>
      <c r="B55" s="38" t="s">
        <v>59</v>
      </c>
      <c r="C55" s="69" t="s">
        <v>147</v>
      </c>
      <c r="D55" s="102" t="s">
        <v>22</v>
      </c>
      <c r="E55" s="237">
        <v>443</v>
      </c>
    </row>
    <row r="56" spans="1:5" s="126" customFormat="1" ht="35.1" customHeight="1">
      <c r="A56" s="270">
        <v>13</v>
      </c>
      <c r="B56" s="38" t="s">
        <v>59</v>
      </c>
      <c r="C56" s="69" t="s">
        <v>148</v>
      </c>
      <c r="D56" s="102" t="s">
        <v>22</v>
      </c>
      <c r="E56" s="237">
        <v>1405</v>
      </c>
    </row>
    <row r="57" spans="1:5" s="126" customFormat="1" ht="35.1" customHeight="1" thickBot="1">
      <c r="A57" s="149">
        <v>14</v>
      </c>
      <c r="B57" s="104" t="s">
        <v>59</v>
      </c>
      <c r="C57" s="73" t="s">
        <v>65</v>
      </c>
      <c r="D57" s="96" t="s">
        <v>22</v>
      </c>
      <c r="E57" s="238">
        <v>641</v>
      </c>
    </row>
    <row r="58" spans="1:5" s="126" customFormat="1" ht="20.100000000000001" customHeight="1" thickTop="1" thickBot="1">
      <c r="A58" s="148"/>
      <c r="B58" s="147"/>
      <c r="C58" s="263" t="s">
        <v>136</v>
      </c>
      <c r="D58" s="146"/>
      <c r="E58" s="240"/>
    </row>
    <row r="59" spans="1:5" s="126" customFormat="1" ht="35.1" customHeight="1" thickTop="1">
      <c r="A59" s="150">
        <v>15</v>
      </c>
      <c r="B59" s="105" t="s">
        <v>134</v>
      </c>
      <c r="C59" s="99" t="s">
        <v>146</v>
      </c>
      <c r="D59" s="100" t="s">
        <v>22</v>
      </c>
      <c r="E59" s="241">
        <v>10.7</v>
      </c>
    </row>
    <row r="60" spans="1:5" s="126" customFormat="1" ht="35.1" customHeight="1">
      <c r="A60" s="264">
        <v>16</v>
      </c>
      <c r="B60" s="265" t="s">
        <v>135</v>
      </c>
      <c r="C60" s="266" t="s">
        <v>145</v>
      </c>
      <c r="D60" s="267" t="s">
        <v>33</v>
      </c>
      <c r="E60" s="287">
        <v>18</v>
      </c>
    </row>
    <row r="61" spans="1:5" s="126" customFormat="1" ht="35.1" customHeight="1">
      <c r="A61" s="264">
        <v>17</v>
      </c>
      <c r="B61" s="265" t="s">
        <v>135</v>
      </c>
      <c r="C61" s="266" t="s">
        <v>138</v>
      </c>
      <c r="D61" s="267" t="s">
        <v>33</v>
      </c>
      <c r="E61" s="287">
        <v>6</v>
      </c>
    </row>
    <row r="62" spans="1:5" s="126" customFormat="1" ht="35.1" customHeight="1" thickBot="1">
      <c r="A62" s="264">
        <v>18</v>
      </c>
      <c r="B62" s="265" t="s">
        <v>135</v>
      </c>
      <c r="C62" s="266" t="s">
        <v>139</v>
      </c>
      <c r="D62" s="267" t="s">
        <v>90</v>
      </c>
      <c r="E62" s="287">
        <v>24</v>
      </c>
    </row>
    <row r="63" spans="1:5" s="126" customFormat="1" ht="20.100000000000001" customHeight="1" thickTop="1" thickBot="1">
      <c r="A63" s="148"/>
      <c r="B63" s="147"/>
      <c r="C63" s="53" t="s">
        <v>39</v>
      </c>
      <c r="D63" s="146"/>
      <c r="E63" s="240"/>
    </row>
    <row r="64" spans="1:5" s="126" customFormat="1" ht="45" customHeight="1" thickTop="1">
      <c r="A64" s="150">
        <v>19</v>
      </c>
      <c r="B64" s="105" t="s">
        <v>12</v>
      </c>
      <c r="C64" s="99" t="s">
        <v>142</v>
      </c>
      <c r="D64" s="100" t="s">
        <v>13</v>
      </c>
      <c r="E64" s="241">
        <v>889</v>
      </c>
    </row>
    <row r="65" spans="1:5" s="126" customFormat="1" ht="35.1" customHeight="1">
      <c r="A65" s="151">
        <v>20</v>
      </c>
      <c r="B65" s="38" t="s">
        <v>57</v>
      </c>
      <c r="C65" s="69" t="s">
        <v>53</v>
      </c>
      <c r="D65" s="102" t="s">
        <v>13</v>
      </c>
      <c r="E65" s="237">
        <v>1216</v>
      </c>
    </row>
    <row r="66" spans="1:5" s="126" customFormat="1" ht="35.1" customHeight="1">
      <c r="A66" s="270">
        <v>21</v>
      </c>
      <c r="B66" s="38" t="s">
        <v>143</v>
      </c>
      <c r="C66" s="271" t="s">
        <v>144</v>
      </c>
      <c r="D66" s="102" t="s">
        <v>13</v>
      </c>
      <c r="E66" s="237">
        <v>337</v>
      </c>
    </row>
    <row r="67" spans="1:5" s="126" customFormat="1" ht="35.1" customHeight="1" thickBot="1">
      <c r="A67" s="149">
        <v>22</v>
      </c>
      <c r="B67" s="104" t="s">
        <v>52</v>
      </c>
      <c r="C67" s="73" t="s">
        <v>51</v>
      </c>
      <c r="D67" s="96" t="s">
        <v>13</v>
      </c>
      <c r="E67" s="238">
        <v>889</v>
      </c>
    </row>
    <row r="69" spans="1:5" ht="25.5" customHeight="1">
      <c r="A69" s="550" t="s">
        <v>105</v>
      </c>
      <c r="B69" s="550"/>
      <c r="C69" s="550"/>
      <c r="D69" s="550"/>
      <c r="E69" s="550"/>
    </row>
    <row r="70" spans="1:5" s="2" customFormat="1" ht="31.5" customHeight="1" thickBot="1">
      <c r="A70" s="547" t="s">
        <v>130</v>
      </c>
      <c r="B70" s="547"/>
      <c r="C70" s="547"/>
      <c r="D70" s="547"/>
      <c r="E70" s="547"/>
    </row>
    <row r="71" spans="1:5" ht="39.950000000000003" customHeight="1">
      <c r="A71" s="42" t="s">
        <v>1</v>
      </c>
      <c r="B71" s="43" t="s">
        <v>23</v>
      </c>
      <c r="C71" s="44" t="s">
        <v>3</v>
      </c>
      <c r="D71" s="43" t="s">
        <v>17</v>
      </c>
      <c r="E71" s="227" t="s">
        <v>16</v>
      </c>
    </row>
    <row r="72" spans="1:5" s="15" customFormat="1" ht="20.100000000000001" customHeight="1" thickBot="1">
      <c r="A72" s="46">
        <v>1</v>
      </c>
      <c r="B72" s="16">
        <v>2</v>
      </c>
      <c r="C72" s="16">
        <v>3</v>
      </c>
      <c r="D72" s="16">
        <v>4</v>
      </c>
      <c r="E72" s="228">
        <v>5</v>
      </c>
    </row>
    <row r="73" spans="1:5" ht="20.100000000000001" customHeight="1" thickTop="1" thickBot="1">
      <c r="A73" s="148"/>
      <c r="B73" s="147"/>
      <c r="C73" s="53" t="s">
        <v>37</v>
      </c>
      <c r="D73" s="146"/>
      <c r="E73" s="240"/>
    </row>
    <row r="74" spans="1:5" s="126" customFormat="1" ht="63.95" customHeight="1" thickTop="1">
      <c r="A74" s="170">
        <v>1</v>
      </c>
      <c r="B74" s="171" t="s">
        <v>88</v>
      </c>
      <c r="C74" s="172" t="s">
        <v>103</v>
      </c>
      <c r="D74" s="173" t="s">
        <v>75</v>
      </c>
      <c r="E74" s="242">
        <v>307.33999999999997</v>
      </c>
    </row>
    <row r="75" spans="1:5" s="126" customFormat="1" ht="44.1" customHeight="1">
      <c r="A75" s="177">
        <f>A74+1</f>
        <v>2</v>
      </c>
      <c r="B75" s="178" t="s">
        <v>88</v>
      </c>
      <c r="C75" s="179" t="s">
        <v>96</v>
      </c>
      <c r="D75" s="180" t="s">
        <v>75</v>
      </c>
      <c r="E75" s="243">
        <v>307.33999999999997</v>
      </c>
    </row>
    <row r="76" spans="1:5" s="126" customFormat="1" ht="44.1" customHeight="1">
      <c r="A76" s="177">
        <f t="shared" ref="A76:A80" si="0">A75+1</f>
        <v>3</v>
      </c>
      <c r="B76" s="178" t="s">
        <v>88</v>
      </c>
      <c r="C76" s="184" t="s">
        <v>95</v>
      </c>
      <c r="D76" s="180" t="s">
        <v>75</v>
      </c>
      <c r="E76" s="243">
        <v>149.15</v>
      </c>
    </row>
    <row r="77" spans="1:5" s="126" customFormat="1" ht="32.1" customHeight="1">
      <c r="A77" s="177">
        <f t="shared" si="0"/>
        <v>4</v>
      </c>
      <c r="B77" s="178" t="s">
        <v>88</v>
      </c>
      <c r="C77" s="184" t="s">
        <v>94</v>
      </c>
      <c r="D77" s="180" t="s">
        <v>75</v>
      </c>
      <c r="E77" s="243">
        <v>1.06</v>
      </c>
    </row>
    <row r="78" spans="1:5" s="126" customFormat="1" ht="44.1" customHeight="1">
      <c r="A78" s="177">
        <f t="shared" si="0"/>
        <v>5</v>
      </c>
      <c r="B78" s="178" t="s">
        <v>88</v>
      </c>
      <c r="C78" s="179" t="s">
        <v>93</v>
      </c>
      <c r="D78" s="180" t="s">
        <v>75</v>
      </c>
      <c r="E78" s="243">
        <v>73.2</v>
      </c>
    </row>
    <row r="79" spans="1:5" s="126" customFormat="1" ht="32.1" customHeight="1">
      <c r="A79" s="177">
        <f t="shared" si="0"/>
        <v>6</v>
      </c>
      <c r="B79" s="178" t="s">
        <v>88</v>
      </c>
      <c r="C79" s="179" t="s">
        <v>92</v>
      </c>
      <c r="D79" s="180" t="s">
        <v>90</v>
      </c>
      <c r="E79" s="243">
        <v>8</v>
      </c>
    </row>
    <row r="80" spans="1:5" s="126" customFormat="1" ht="44.1" customHeight="1" thickBot="1">
      <c r="A80" s="177">
        <f t="shared" si="0"/>
        <v>7</v>
      </c>
      <c r="B80" s="178" t="s">
        <v>88</v>
      </c>
      <c r="C80" s="179" t="s">
        <v>91</v>
      </c>
      <c r="D80" s="180" t="s">
        <v>90</v>
      </c>
      <c r="E80" s="243">
        <v>3</v>
      </c>
    </row>
    <row r="81" spans="1:5" ht="20.100000000000001" customHeight="1" thickTop="1" thickBot="1">
      <c r="A81" s="148"/>
      <c r="B81" s="147"/>
      <c r="C81" s="53" t="s">
        <v>115</v>
      </c>
      <c r="D81" s="146"/>
      <c r="E81" s="240"/>
    </row>
    <row r="82" spans="1:5" s="126" customFormat="1" ht="44.1" customHeight="1" thickTop="1">
      <c r="A82" s="244">
        <v>8</v>
      </c>
      <c r="B82" s="192" t="s">
        <v>82</v>
      </c>
      <c r="C82" s="193" t="s">
        <v>117</v>
      </c>
      <c r="D82" s="194" t="s">
        <v>81</v>
      </c>
      <c r="E82" s="245">
        <v>134.30000000000001</v>
      </c>
    </row>
    <row r="83" spans="1:5" s="126" customFormat="1" ht="44.1" customHeight="1">
      <c r="A83" s="246">
        <v>9</v>
      </c>
      <c r="B83" s="200" t="s">
        <v>82</v>
      </c>
      <c r="C83" s="201" t="s">
        <v>119</v>
      </c>
      <c r="D83" s="202" t="s">
        <v>81</v>
      </c>
      <c r="E83" s="247">
        <v>2.5</v>
      </c>
    </row>
    <row r="84" spans="1:5" s="126" customFormat="1" ht="44.1" customHeight="1">
      <c r="A84" s="246">
        <v>10</v>
      </c>
      <c r="B84" s="200" t="s">
        <v>82</v>
      </c>
      <c r="C84" s="201" t="s">
        <v>120</v>
      </c>
      <c r="D84" s="202" t="s">
        <v>81</v>
      </c>
      <c r="E84" s="247">
        <v>9</v>
      </c>
    </row>
    <row r="85" spans="1:5" s="126" customFormat="1" ht="44.1" customHeight="1">
      <c r="A85" s="246">
        <v>11</v>
      </c>
      <c r="B85" s="200" t="s">
        <v>88</v>
      </c>
      <c r="C85" s="201" t="s">
        <v>89</v>
      </c>
      <c r="D85" s="202" t="s">
        <v>33</v>
      </c>
      <c r="E85" s="247">
        <v>1</v>
      </c>
    </row>
    <row r="86" spans="1:5" s="126" customFormat="1" ht="90" customHeight="1">
      <c r="A86" s="246">
        <v>12</v>
      </c>
      <c r="B86" s="200" t="s">
        <v>82</v>
      </c>
      <c r="C86" s="206" t="s">
        <v>102</v>
      </c>
      <c r="D86" s="202" t="s">
        <v>33</v>
      </c>
      <c r="E86" s="247">
        <v>3</v>
      </c>
    </row>
    <row r="87" spans="1:5" s="126" customFormat="1" ht="32.1" customHeight="1">
      <c r="A87" s="246">
        <v>13</v>
      </c>
      <c r="B87" s="200" t="s">
        <v>82</v>
      </c>
      <c r="C87" s="206" t="s">
        <v>87</v>
      </c>
      <c r="D87" s="202" t="s">
        <v>33</v>
      </c>
      <c r="E87" s="247">
        <v>5</v>
      </c>
    </row>
    <row r="88" spans="1:5" s="126" customFormat="1" ht="32.1" customHeight="1">
      <c r="A88" s="246">
        <v>14</v>
      </c>
      <c r="B88" s="200" t="s">
        <v>82</v>
      </c>
      <c r="C88" s="206" t="s">
        <v>99</v>
      </c>
      <c r="D88" s="202" t="s">
        <v>33</v>
      </c>
      <c r="E88" s="247">
        <v>1</v>
      </c>
    </row>
    <row r="89" spans="1:5" s="126" customFormat="1" ht="44.1" customHeight="1">
      <c r="A89" s="246">
        <v>15</v>
      </c>
      <c r="B89" s="200" t="s">
        <v>82</v>
      </c>
      <c r="C89" s="208" t="s">
        <v>125</v>
      </c>
      <c r="D89" s="202" t="s">
        <v>84</v>
      </c>
      <c r="E89" s="247">
        <v>1</v>
      </c>
    </row>
    <row r="90" spans="1:5" s="126" customFormat="1" ht="44.1" customHeight="1">
      <c r="A90" s="246">
        <v>16</v>
      </c>
      <c r="B90" s="200" t="s">
        <v>82</v>
      </c>
      <c r="C90" s="208" t="s">
        <v>124</v>
      </c>
      <c r="D90" s="199" t="s">
        <v>84</v>
      </c>
      <c r="E90" s="248">
        <v>4</v>
      </c>
    </row>
    <row r="91" spans="1:5" s="126" customFormat="1" ht="32.1" customHeight="1" thickBot="1">
      <c r="A91" s="249">
        <v>17</v>
      </c>
      <c r="B91" s="211" t="s">
        <v>82</v>
      </c>
      <c r="C91" s="212" t="s">
        <v>83</v>
      </c>
      <c r="D91" s="210" t="s">
        <v>81</v>
      </c>
      <c r="E91" s="250">
        <v>136.80000000000001</v>
      </c>
    </row>
    <row r="93" spans="1:5" s="2" customFormat="1" ht="31.5" customHeight="1" thickBot="1">
      <c r="A93" s="547" t="s">
        <v>129</v>
      </c>
      <c r="B93" s="547"/>
      <c r="C93" s="547"/>
      <c r="D93" s="547"/>
      <c r="E93" s="547"/>
    </row>
    <row r="94" spans="1:5" ht="39.950000000000003" customHeight="1">
      <c r="A94" s="42" t="s">
        <v>1</v>
      </c>
      <c r="B94" s="43" t="s">
        <v>23</v>
      </c>
      <c r="C94" s="44" t="s">
        <v>3</v>
      </c>
      <c r="D94" s="43" t="s">
        <v>17</v>
      </c>
      <c r="E94" s="227" t="s">
        <v>16</v>
      </c>
    </row>
    <row r="95" spans="1:5" s="15" customFormat="1" ht="20.100000000000001" customHeight="1" thickBot="1">
      <c r="A95" s="46">
        <v>1</v>
      </c>
      <c r="B95" s="16">
        <v>2</v>
      </c>
      <c r="C95" s="16">
        <v>3</v>
      </c>
      <c r="D95" s="16">
        <v>4</v>
      </c>
      <c r="E95" s="228">
        <v>5</v>
      </c>
    </row>
    <row r="96" spans="1:5" ht="20.100000000000001" customHeight="1" thickTop="1" thickBot="1">
      <c r="A96" s="148"/>
      <c r="B96" s="147"/>
      <c r="C96" s="53" t="s">
        <v>37</v>
      </c>
      <c r="D96" s="146"/>
      <c r="E96" s="240"/>
    </row>
    <row r="97" spans="1:5" s="126" customFormat="1" ht="63.95" customHeight="1" thickTop="1">
      <c r="A97" s="170">
        <v>1</v>
      </c>
      <c r="B97" s="171" t="s">
        <v>88</v>
      </c>
      <c r="C97" s="172" t="s">
        <v>103</v>
      </c>
      <c r="D97" s="173" t="s">
        <v>75</v>
      </c>
      <c r="E97" s="242">
        <v>1864.82</v>
      </c>
    </row>
    <row r="98" spans="1:5" s="126" customFormat="1" ht="44.1" customHeight="1">
      <c r="A98" s="177">
        <f>A97+1</f>
        <v>2</v>
      </c>
      <c r="B98" s="178" t="s">
        <v>88</v>
      </c>
      <c r="C98" s="179" t="s">
        <v>96</v>
      </c>
      <c r="D98" s="180" t="s">
        <v>75</v>
      </c>
      <c r="E98" s="243">
        <v>1864.82</v>
      </c>
    </row>
    <row r="99" spans="1:5" s="126" customFormat="1" ht="44.1" customHeight="1">
      <c r="A99" s="177">
        <f t="shared" ref="A99:A103" si="1">A98+1</f>
        <v>3</v>
      </c>
      <c r="B99" s="178" t="s">
        <v>88</v>
      </c>
      <c r="C99" s="184" t="s">
        <v>95</v>
      </c>
      <c r="D99" s="180" t="s">
        <v>75</v>
      </c>
      <c r="E99" s="243">
        <v>572.71</v>
      </c>
    </row>
    <row r="100" spans="1:5" s="126" customFormat="1" ht="32.1" customHeight="1">
      <c r="A100" s="177">
        <f t="shared" si="1"/>
        <v>4</v>
      </c>
      <c r="B100" s="178" t="s">
        <v>88</v>
      </c>
      <c r="C100" s="184" t="s">
        <v>94</v>
      </c>
      <c r="D100" s="180" t="s">
        <v>75</v>
      </c>
      <c r="E100" s="243">
        <v>6.45</v>
      </c>
    </row>
    <row r="101" spans="1:5" s="126" customFormat="1" ht="44.1" customHeight="1">
      <c r="A101" s="177">
        <f t="shared" si="1"/>
        <v>5</v>
      </c>
      <c r="B101" s="178" t="s">
        <v>88</v>
      </c>
      <c r="C101" s="179" t="s">
        <v>93</v>
      </c>
      <c r="D101" s="180" t="s">
        <v>75</v>
      </c>
      <c r="E101" s="243">
        <v>881.05</v>
      </c>
    </row>
    <row r="102" spans="1:5" s="126" customFormat="1" ht="32.1" customHeight="1">
      <c r="A102" s="177">
        <f t="shared" si="1"/>
        <v>6</v>
      </c>
      <c r="B102" s="178" t="s">
        <v>88</v>
      </c>
      <c r="C102" s="179" t="s">
        <v>92</v>
      </c>
      <c r="D102" s="180" t="s">
        <v>90</v>
      </c>
      <c r="E102" s="243">
        <v>53</v>
      </c>
    </row>
    <row r="103" spans="1:5" s="126" customFormat="1" ht="44.1" customHeight="1" thickBot="1">
      <c r="A103" s="177">
        <f t="shared" si="1"/>
        <v>7</v>
      </c>
      <c r="B103" s="178" t="s">
        <v>88</v>
      </c>
      <c r="C103" s="179" t="s">
        <v>91</v>
      </c>
      <c r="D103" s="180" t="s">
        <v>90</v>
      </c>
      <c r="E103" s="243">
        <v>5</v>
      </c>
    </row>
    <row r="104" spans="1:5" ht="20.100000000000001" customHeight="1" thickTop="1" thickBot="1">
      <c r="A104" s="148"/>
      <c r="B104" s="147"/>
      <c r="C104" s="53" t="s">
        <v>115</v>
      </c>
      <c r="D104" s="146"/>
      <c r="E104" s="240"/>
    </row>
    <row r="105" spans="1:5" s="126" customFormat="1" ht="44.1" customHeight="1" thickTop="1">
      <c r="A105" s="244">
        <v>8</v>
      </c>
      <c r="B105" s="192" t="s">
        <v>82</v>
      </c>
      <c r="C105" s="193" t="s">
        <v>117</v>
      </c>
      <c r="D105" s="194" t="s">
        <v>81</v>
      </c>
      <c r="E105" s="245">
        <v>468.7</v>
      </c>
    </row>
    <row r="106" spans="1:5" s="126" customFormat="1" ht="44.1" customHeight="1">
      <c r="A106" s="246">
        <v>9</v>
      </c>
      <c r="B106" s="200" t="s">
        <v>82</v>
      </c>
      <c r="C106" s="201" t="s">
        <v>118</v>
      </c>
      <c r="D106" s="202" t="s">
        <v>81</v>
      </c>
      <c r="E106" s="247">
        <v>53.9</v>
      </c>
    </row>
    <row r="107" spans="1:5" s="126" customFormat="1" ht="44.1" customHeight="1">
      <c r="A107" s="246">
        <v>10</v>
      </c>
      <c r="B107" s="200" t="s">
        <v>82</v>
      </c>
      <c r="C107" s="201" t="s">
        <v>119</v>
      </c>
      <c r="D107" s="202" t="s">
        <v>81</v>
      </c>
      <c r="E107" s="247">
        <v>90.1</v>
      </c>
    </row>
    <row r="108" spans="1:5" s="126" customFormat="1" ht="44.1" customHeight="1">
      <c r="A108" s="246">
        <v>11</v>
      </c>
      <c r="B108" s="200" t="s">
        <v>82</v>
      </c>
      <c r="C108" s="201" t="s">
        <v>120</v>
      </c>
      <c r="D108" s="202" t="s">
        <v>81</v>
      </c>
      <c r="E108" s="247">
        <v>5</v>
      </c>
    </row>
    <row r="109" spans="1:5" s="126" customFormat="1" ht="44.1" customHeight="1">
      <c r="A109" s="246">
        <v>12</v>
      </c>
      <c r="B109" s="200" t="s">
        <v>88</v>
      </c>
      <c r="C109" s="201" t="s">
        <v>89</v>
      </c>
      <c r="D109" s="202" t="s">
        <v>33</v>
      </c>
      <c r="E109" s="247">
        <v>2</v>
      </c>
    </row>
    <row r="110" spans="1:5" s="126" customFormat="1" ht="90" customHeight="1">
      <c r="A110" s="246">
        <v>13</v>
      </c>
      <c r="B110" s="200" t="s">
        <v>82</v>
      </c>
      <c r="C110" s="206" t="s">
        <v>102</v>
      </c>
      <c r="D110" s="202" t="s">
        <v>33</v>
      </c>
      <c r="E110" s="247">
        <v>10</v>
      </c>
    </row>
    <row r="111" spans="1:5" s="126" customFormat="1" ht="44.1" customHeight="1">
      <c r="A111" s="246">
        <v>14</v>
      </c>
      <c r="B111" s="200" t="s">
        <v>82</v>
      </c>
      <c r="C111" s="201" t="s">
        <v>101</v>
      </c>
      <c r="D111" s="207" t="s">
        <v>100</v>
      </c>
      <c r="E111" s="247">
        <v>3</v>
      </c>
    </row>
    <row r="112" spans="1:5" s="126" customFormat="1" ht="32.1" customHeight="1">
      <c r="A112" s="246">
        <v>15</v>
      </c>
      <c r="B112" s="200" t="s">
        <v>82</v>
      </c>
      <c r="C112" s="206" t="s">
        <v>87</v>
      </c>
      <c r="D112" s="202" t="s">
        <v>33</v>
      </c>
      <c r="E112" s="247">
        <v>2</v>
      </c>
    </row>
    <row r="113" spans="1:5" s="126" customFormat="1" ht="44.1" customHeight="1">
      <c r="A113" s="246">
        <v>16</v>
      </c>
      <c r="B113" s="200" t="s">
        <v>82</v>
      </c>
      <c r="C113" s="206" t="s">
        <v>86</v>
      </c>
      <c r="D113" s="202" t="s">
        <v>33</v>
      </c>
      <c r="E113" s="247">
        <v>25</v>
      </c>
    </row>
    <row r="114" spans="1:5" s="126" customFormat="1" ht="32.1" customHeight="1">
      <c r="A114" s="246">
        <v>17</v>
      </c>
      <c r="B114" s="200" t="s">
        <v>82</v>
      </c>
      <c r="C114" s="206" t="s">
        <v>99</v>
      </c>
      <c r="D114" s="202" t="s">
        <v>33</v>
      </c>
      <c r="E114" s="247">
        <v>2</v>
      </c>
    </row>
    <row r="115" spans="1:5" s="126" customFormat="1" ht="32.1" customHeight="1">
      <c r="A115" s="246">
        <v>18</v>
      </c>
      <c r="B115" s="200" t="s">
        <v>82</v>
      </c>
      <c r="C115" s="206" t="s">
        <v>98</v>
      </c>
      <c r="D115" s="202" t="s">
        <v>33</v>
      </c>
      <c r="E115" s="247">
        <v>3</v>
      </c>
    </row>
    <row r="116" spans="1:5" s="126" customFormat="1" ht="32.1" customHeight="1">
      <c r="A116" s="246">
        <v>19</v>
      </c>
      <c r="B116" s="200" t="s">
        <v>82</v>
      </c>
      <c r="C116" s="206" t="s">
        <v>97</v>
      </c>
      <c r="D116" s="202" t="s">
        <v>33</v>
      </c>
      <c r="E116" s="247">
        <v>2</v>
      </c>
    </row>
    <row r="117" spans="1:5" s="126" customFormat="1" ht="44.1" customHeight="1">
      <c r="A117" s="246">
        <v>20</v>
      </c>
      <c r="B117" s="200" t="s">
        <v>82</v>
      </c>
      <c r="C117" s="206" t="s">
        <v>85</v>
      </c>
      <c r="D117" s="202" t="s">
        <v>33</v>
      </c>
      <c r="E117" s="247">
        <v>1</v>
      </c>
    </row>
    <row r="118" spans="1:5" s="126" customFormat="1" ht="44.1" customHeight="1">
      <c r="A118" s="246">
        <v>21</v>
      </c>
      <c r="B118" s="200" t="s">
        <v>82</v>
      </c>
      <c r="C118" s="208" t="s">
        <v>125</v>
      </c>
      <c r="D118" s="202" t="s">
        <v>84</v>
      </c>
      <c r="E118" s="247">
        <v>1</v>
      </c>
    </row>
    <row r="119" spans="1:5" s="126" customFormat="1" ht="44.1" customHeight="1">
      <c r="A119" s="246">
        <v>22</v>
      </c>
      <c r="B119" s="200" t="s">
        <v>82</v>
      </c>
      <c r="C119" s="208" t="s">
        <v>126</v>
      </c>
      <c r="D119" s="202" t="s">
        <v>84</v>
      </c>
      <c r="E119" s="247">
        <v>2</v>
      </c>
    </row>
    <row r="120" spans="1:5" s="126" customFormat="1" ht="44.1" customHeight="1">
      <c r="A120" s="246">
        <v>23</v>
      </c>
      <c r="B120" s="200" t="s">
        <v>82</v>
      </c>
      <c r="C120" s="208" t="s">
        <v>124</v>
      </c>
      <c r="D120" s="199" t="s">
        <v>84</v>
      </c>
      <c r="E120" s="248">
        <v>18</v>
      </c>
    </row>
    <row r="121" spans="1:5" s="126" customFormat="1" ht="32.1" customHeight="1" thickBot="1">
      <c r="A121" s="249">
        <v>24</v>
      </c>
      <c r="B121" s="211" t="s">
        <v>82</v>
      </c>
      <c r="C121" s="212" t="s">
        <v>83</v>
      </c>
      <c r="D121" s="210" t="s">
        <v>81</v>
      </c>
      <c r="E121" s="250">
        <v>521.6</v>
      </c>
    </row>
    <row r="122" spans="1:5" s="126" customFormat="1" ht="15">
      <c r="A122" s="36"/>
      <c r="B122" s="132"/>
      <c r="C122" s="131"/>
      <c r="D122" s="114"/>
      <c r="E122" s="114"/>
    </row>
    <row r="123" spans="1:5" s="5" customFormat="1">
      <c r="A123" s="135"/>
      <c r="B123" s="132"/>
      <c r="C123" s="131"/>
      <c r="D123" s="114"/>
      <c r="E123" s="114"/>
    </row>
    <row r="124" spans="1:5" s="138" customFormat="1" ht="25.5" customHeight="1">
      <c r="A124" s="135"/>
      <c r="B124" s="132"/>
      <c r="D124" s="3" t="s">
        <v>10</v>
      </c>
    </row>
    <row r="125" spans="1:5" s="126" customFormat="1" ht="15" hidden="1" customHeight="1">
      <c r="A125" s="136">
        <v>59</v>
      </c>
      <c r="B125" s="132"/>
      <c r="C125" s="114"/>
      <c r="D125" s="114"/>
    </row>
    <row r="126" spans="1:5" s="126" customFormat="1" ht="13.5" hidden="1" customHeight="1">
      <c r="A126" s="136">
        <v>59</v>
      </c>
      <c r="B126" s="132"/>
      <c r="C126" s="114"/>
      <c r="D126" s="114"/>
    </row>
    <row r="127" spans="1:5" s="126" customFormat="1" ht="13.5" hidden="1" customHeight="1">
      <c r="A127" s="136">
        <v>60</v>
      </c>
      <c r="B127" s="132"/>
      <c r="C127" s="114"/>
      <c r="D127" s="114"/>
    </row>
    <row r="128" spans="1:5" s="126" customFormat="1" ht="15" hidden="1" customHeight="1">
      <c r="A128" s="134"/>
      <c r="B128" s="132"/>
      <c r="C128" s="3"/>
      <c r="D128" s="114"/>
    </row>
    <row r="129" spans="1:5" s="126" customFormat="1" ht="15" hidden="1" customHeight="1">
      <c r="A129" s="133"/>
      <c r="B129" s="132"/>
      <c r="C129" s="3"/>
      <c r="D129" s="114"/>
    </row>
    <row r="130" spans="1:5" s="126" customFormat="1" ht="14.25" hidden="1">
      <c r="A130" s="133"/>
      <c r="B130" s="132"/>
      <c r="C130" s="3" t="s">
        <v>107</v>
      </c>
      <c r="D130" s="114"/>
    </row>
    <row r="131" spans="1:5" s="40" customFormat="1" hidden="1">
      <c r="A131" s="133"/>
      <c r="B131" s="132"/>
      <c r="C131" s="114"/>
      <c r="D131" s="114"/>
    </row>
    <row r="132" spans="1:5" s="40" customFormat="1" hidden="1">
      <c r="A132" s="133"/>
      <c r="B132" s="132"/>
      <c r="C132" s="114"/>
      <c r="D132" s="114"/>
    </row>
    <row r="133" spans="1:5" s="40" customFormat="1" ht="44.25" customHeight="1">
      <c r="A133" s="128"/>
      <c r="B133" s="128"/>
    </row>
    <row r="134" spans="1:5" s="126" customFormat="1" ht="14.1" customHeight="1">
      <c r="A134" s="128"/>
      <c r="B134" s="128"/>
      <c r="C134" s="40"/>
      <c r="D134" s="129" t="s">
        <v>122</v>
      </c>
    </row>
    <row r="135" spans="1:5" s="126" customFormat="1">
      <c r="A135" s="128"/>
      <c r="B135" s="128"/>
      <c r="C135" s="127"/>
      <c r="D135" s="40"/>
      <c r="E135" s="40"/>
    </row>
    <row r="274" spans="1:1">
      <c r="A274" s="10">
        <v>34</v>
      </c>
    </row>
  </sheetData>
  <mergeCells count="9">
    <mergeCell ref="A69:E69"/>
    <mergeCell ref="A70:E70"/>
    <mergeCell ref="A93:E93"/>
    <mergeCell ref="A1:E1"/>
    <mergeCell ref="A2:E2"/>
    <mergeCell ref="A3:E3"/>
    <mergeCell ref="A4:E4"/>
    <mergeCell ref="A35:E35"/>
    <mergeCell ref="A36:E36"/>
  </mergeCells>
  <pageMargins left="0.86614173228346458" right="0.23622047244094491" top="0.51181102362204722" bottom="0.9055118110236221" header="0.31496062992125984" footer="0.39370078740157483"/>
  <pageSetup paperSize="9" scale="75" orientation="portrait" horizontalDpi="4294967295" verticalDpi="300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</sheetPr>
  <dimension ref="A1:I32"/>
  <sheetViews>
    <sheetView showZeros="0" zoomScale="120" zoomScaleNormal="120" zoomScaleSheetLayoutView="110" workbookViewId="0">
      <selection activeCell="B49" sqref="B49"/>
    </sheetView>
  </sheetViews>
  <sheetFormatPr defaultRowHeight="12.75"/>
  <cols>
    <col min="1" max="1" width="5.85546875" style="7" customWidth="1"/>
    <col min="2" max="2" width="13.42578125" style="7" customWidth="1"/>
    <col min="3" max="3" width="56.28515625" style="7" customWidth="1"/>
    <col min="4" max="8" width="16.7109375" style="7" hidden="1" customWidth="1"/>
    <col min="9" max="9" width="18.42578125" style="7" customWidth="1"/>
    <col min="10" max="16384" width="9.140625" style="1"/>
  </cols>
  <sheetData>
    <row r="1" spans="1:9" ht="28.5" customHeight="1">
      <c r="A1" s="530" t="s">
        <v>20</v>
      </c>
      <c r="B1" s="530"/>
      <c r="C1" s="530"/>
      <c r="D1" s="530"/>
      <c r="E1" s="530"/>
      <c r="F1" s="530"/>
      <c r="G1" s="530"/>
      <c r="H1" s="530"/>
      <c r="I1" s="530"/>
    </row>
    <row r="2" spans="1:9" s="2" customFormat="1" ht="44.25" customHeight="1">
      <c r="A2" s="531" t="s">
        <v>158</v>
      </c>
      <c r="B2" s="532"/>
      <c r="C2" s="532"/>
      <c r="D2" s="532"/>
      <c r="E2" s="532"/>
      <c r="F2" s="532"/>
      <c r="G2" s="532"/>
      <c r="H2" s="532"/>
      <c r="I2" s="532"/>
    </row>
    <row r="3" spans="1:9" ht="6.75" customHeight="1" thickBot="1">
      <c r="A3" s="40" t="s">
        <v>50</v>
      </c>
      <c r="C3" s="112"/>
    </row>
    <row r="4" spans="1:9" s="12" customFormat="1" ht="46.5" customHeight="1" thickBot="1">
      <c r="A4" s="33" t="s">
        <v>1</v>
      </c>
      <c r="B4" s="33" t="s">
        <v>23</v>
      </c>
      <c r="C4" s="33" t="s">
        <v>3</v>
      </c>
      <c r="D4" s="33" t="s">
        <v>18</v>
      </c>
      <c r="E4" s="33" t="s">
        <v>19</v>
      </c>
      <c r="F4" s="33" t="s">
        <v>21</v>
      </c>
      <c r="G4" s="33" t="s">
        <v>27</v>
      </c>
      <c r="H4" s="33" t="s">
        <v>28</v>
      </c>
      <c r="I4" s="33" t="s">
        <v>14</v>
      </c>
    </row>
    <row r="5" spans="1:9" s="13" customFormat="1" ht="20.100000000000001" customHeight="1" thickBot="1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  <c r="I5" s="34">
        <v>4</v>
      </c>
    </row>
    <row r="6" spans="1:9" s="13" customFormat="1" ht="24.95" customHeight="1" thickBot="1">
      <c r="A6" s="536" t="s">
        <v>104</v>
      </c>
      <c r="B6" s="537"/>
      <c r="C6" s="537"/>
      <c r="D6" s="537"/>
      <c r="E6" s="537"/>
      <c r="F6" s="537"/>
      <c r="G6" s="537"/>
      <c r="H6" s="537"/>
      <c r="I6" s="538"/>
    </row>
    <row r="7" spans="1:9" s="4" customFormat="1" ht="20.100000000000001" customHeight="1">
      <c r="A7" s="20">
        <v>1</v>
      </c>
      <c r="B7" s="21" t="s">
        <v>4</v>
      </c>
      <c r="C7" s="21" t="s">
        <v>2</v>
      </c>
      <c r="D7" s="22"/>
      <c r="E7" s="22"/>
      <c r="F7" s="26"/>
      <c r="G7" s="22"/>
      <c r="H7" s="26"/>
      <c r="I7" s="29">
        <f>'KI 2'!G14</f>
        <v>19900</v>
      </c>
    </row>
    <row r="8" spans="1:9" s="4" customFormat="1" ht="20.100000000000001" customHeight="1">
      <c r="A8" s="19">
        <v>2</v>
      </c>
      <c r="B8" s="39" t="s">
        <v>49</v>
      </c>
      <c r="C8" s="37" t="s">
        <v>32</v>
      </c>
      <c r="D8" s="18"/>
      <c r="E8" s="18"/>
      <c r="F8" s="27"/>
      <c r="G8" s="18"/>
      <c r="H8" s="27"/>
      <c r="I8" s="30">
        <f>'KI 2'!G20</f>
        <v>138178.5</v>
      </c>
    </row>
    <row r="9" spans="1:9" s="4" customFormat="1" ht="20.100000000000001" customHeight="1">
      <c r="A9" s="17">
        <v>3</v>
      </c>
      <c r="B9" s="39" t="s">
        <v>5</v>
      </c>
      <c r="C9" s="38" t="s">
        <v>6</v>
      </c>
      <c r="D9" s="18"/>
      <c r="E9" s="18"/>
      <c r="F9" s="27"/>
      <c r="G9" s="18"/>
      <c r="H9" s="27"/>
      <c r="I9" s="30">
        <f>'KI 2'!G25</f>
        <v>207126</v>
      </c>
    </row>
    <row r="10" spans="1:9" s="4" customFormat="1" ht="20.100000000000001" customHeight="1">
      <c r="A10" s="17">
        <v>4</v>
      </c>
      <c r="B10" s="39" t="s">
        <v>7</v>
      </c>
      <c r="C10" s="37" t="s">
        <v>8</v>
      </c>
      <c r="D10" s="18"/>
      <c r="E10" s="18"/>
      <c r="F10" s="27"/>
      <c r="G10" s="18"/>
      <c r="H10" s="27"/>
      <c r="I10" s="30">
        <f>'KI 2'!G30</f>
        <v>191643</v>
      </c>
    </row>
    <row r="11" spans="1:9" s="8" customFormat="1" ht="20.100000000000001" customHeight="1">
      <c r="A11" s="17">
        <v>5</v>
      </c>
      <c r="B11" s="39" t="s">
        <v>153</v>
      </c>
      <c r="C11" s="37" t="s">
        <v>11</v>
      </c>
      <c r="D11" s="18"/>
      <c r="E11" s="18"/>
      <c r="F11" s="27"/>
      <c r="G11" s="18"/>
      <c r="H11" s="27"/>
      <c r="I11" s="30">
        <f>'KI 2'!G36</f>
        <v>52870</v>
      </c>
    </row>
    <row r="12" spans="1:9" s="8" customFormat="1" ht="20.100000000000001" customHeight="1" thickBot="1">
      <c r="A12" s="107">
        <v>6</v>
      </c>
      <c r="B12" s="72" t="s">
        <v>154</v>
      </c>
      <c r="C12" s="108" t="s">
        <v>73</v>
      </c>
      <c r="D12" s="109"/>
      <c r="E12" s="109"/>
      <c r="F12" s="110"/>
      <c r="G12" s="109"/>
      <c r="H12" s="110"/>
      <c r="I12" s="111">
        <f>'KI 2'!G39</f>
        <v>5940</v>
      </c>
    </row>
    <row r="13" spans="1:9" s="8" customFormat="1" ht="20.100000000000001" customHeight="1" thickBot="1">
      <c r="A13" s="275"/>
      <c r="B13" s="276"/>
      <c r="C13" s="277" t="s">
        <v>14</v>
      </c>
      <c r="D13" s="278"/>
      <c r="E13" s="278"/>
      <c r="F13" s="278"/>
      <c r="G13" s="278"/>
      <c r="H13" s="278"/>
      <c r="I13" s="279">
        <f>SUM(I7:I12)</f>
        <v>615657.5</v>
      </c>
    </row>
    <row r="14" spans="1:9" s="13" customFormat="1" ht="24.95" customHeight="1" thickBot="1">
      <c r="A14" s="536" t="s">
        <v>105</v>
      </c>
      <c r="B14" s="537"/>
      <c r="C14" s="537"/>
      <c r="D14" s="537"/>
      <c r="E14" s="537"/>
      <c r="F14" s="537"/>
      <c r="G14" s="537"/>
      <c r="H14" s="537"/>
      <c r="I14" s="538"/>
    </row>
    <row r="15" spans="1:9" s="4" customFormat="1" ht="20.100000000000001" customHeight="1">
      <c r="A15" s="20">
        <v>7</v>
      </c>
      <c r="B15" s="115" t="s">
        <v>88</v>
      </c>
      <c r="C15" s="115" t="s">
        <v>32</v>
      </c>
      <c r="D15" s="22"/>
      <c r="E15" s="22"/>
      <c r="F15" s="26"/>
      <c r="G15" s="22"/>
      <c r="H15" s="26"/>
      <c r="I15" s="32">
        <f>'KI 2'!G53</f>
        <v>52540.24</v>
      </c>
    </row>
    <row r="16" spans="1:9" s="4" customFormat="1" ht="20.100000000000001" customHeight="1" thickBot="1">
      <c r="A16" s="116">
        <v>8</v>
      </c>
      <c r="B16" s="117" t="s">
        <v>82</v>
      </c>
      <c r="C16" s="118" t="s">
        <v>106</v>
      </c>
      <c r="D16" s="24"/>
      <c r="E16" s="24"/>
      <c r="F16" s="28"/>
      <c r="G16" s="24"/>
      <c r="H16" s="28"/>
      <c r="I16" s="31">
        <f>'KI 2'!G65</f>
        <v>106417.95</v>
      </c>
    </row>
    <row r="17" spans="1:9" s="8" customFormat="1" ht="20.100000000000001" customHeight="1" thickBot="1">
      <c r="A17" s="280"/>
      <c r="B17" s="281"/>
      <c r="C17" s="282" t="s">
        <v>14</v>
      </c>
      <c r="D17" s="283"/>
      <c r="E17" s="283"/>
      <c r="F17" s="283"/>
      <c r="G17" s="283"/>
      <c r="H17" s="283"/>
      <c r="I17" s="279">
        <f>SUM(I15:I16)</f>
        <v>158958.19</v>
      </c>
    </row>
    <row r="18" spans="1:9" s="4" customFormat="1" ht="20.100000000000001" customHeight="1">
      <c r="A18" s="119">
        <v>9</v>
      </c>
      <c r="B18" s="540" t="s">
        <v>160</v>
      </c>
      <c r="C18" s="541"/>
      <c r="D18" s="120" t="e">
        <f>SUM(#REF!)</f>
        <v>#REF!</v>
      </c>
      <c r="E18" s="120" t="e">
        <f>SUM(#REF!)</f>
        <v>#REF!</v>
      </c>
      <c r="F18" s="121" t="e">
        <f>SUM(#REF!)</f>
        <v>#REF!</v>
      </c>
      <c r="G18" s="120" t="e">
        <f>SUM(#REF!)</f>
        <v>#REF!</v>
      </c>
      <c r="H18" s="121" t="e">
        <f>SUM(#REF!)</f>
        <v>#REF!</v>
      </c>
      <c r="I18" s="122">
        <f>I17+I13</f>
        <v>774615.69</v>
      </c>
    </row>
    <row r="19" spans="1:9" s="4" customFormat="1" ht="20.100000000000001" customHeight="1" thickBot="1">
      <c r="A19" s="23">
        <v>10</v>
      </c>
      <c r="B19" s="542" t="s">
        <v>161</v>
      </c>
      <c r="C19" s="543"/>
      <c r="D19" s="24" t="e">
        <f>D18*22%</f>
        <v>#REF!</v>
      </c>
      <c r="E19" s="24" t="e">
        <f>E18*22%</f>
        <v>#REF!</v>
      </c>
      <c r="F19" s="28" t="e">
        <f>F18*22%</f>
        <v>#REF!</v>
      </c>
      <c r="G19" s="24" t="e">
        <f>G18*22%</f>
        <v>#REF!</v>
      </c>
      <c r="H19" s="28" t="e">
        <f>H18*22%</f>
        <v>#REF!</v>
      </c>
      <c r="I19" s="123">
        <f>ROUND(I18*0.23,2)</f>
        <v>178161.61</v>
      </c>
    </row>
    <row r="20" spans="1:9" s="4" customFormat="1" ht="24.95" customHeight="1" thickTop="1" thickBot="1">
      <c r="A20" s="25">
        <v>11</v>
      </c>
      <c r="B20" s="544" t="s">
        <v>162</v>
      </c>
      <c r="C20" s="545"/>
      <c r="D20" s="284" t="e">
        <f>SUM(D18:D19)</f>
        <v>#REF!</v>
      </c>
      <c r="E20" s="284" t="e">
        <f>SUM(E18:E19)</f>
        <v>#REF!</v>
      </c>
      <c r="F20" s="285" t="e">
        <f>SUM(F18:F19)</f>
        <v>#REF!</v>
      </c>
      <c r="G20" s="284" t="e">
        <f>SUM(G18:G19)</f>
        <v>#REF!</v>
      </c>
      <c r="H20" s="285" t="e">
        <f>SUM(H18:H19)</f>
        <v>#REF!</v>
      </c>
      <c r="I20" s="286">
        <f>I19+I18</f>
        <v>952777.3</v>
      </c>
    </row>
    <row r="21" spans="1:9" ht="17.100000000000001" customHeight="1" thickTop="1">
      <c r="B21" s="14" t="s">
        <v>9</v>
      </c>
    </row>
    <row r="22" spans="1:9" ht="17.100000000000001" customHeight="1">
      <c r="D22" s="9"/>
      <c r="E22" s="9"/>
      <c r="F22" s="9"/>
      <c r="G22" s="9"/>
      <c r="H22" s="9"/>
      <c r="I22" s="9"/>
    </row>
    <row r="23" spans="1:9" ht="34.5" customHeight="1">
      <c r="B23" s="539" t="e">
        <f ca="1">"Słownie =  "&amp;[1]!slownie(I20)</f>
        <v>#NAME?</v>
      </c>
      <c r="C23" s="539"/>
      <c r="D23" s="539"/>
      <c r="E23" s="539"/>
      <c r="F23" s="539"/>
      <c r="G23" s="539"/>
      <c r="H23" s="539"/>
      <c r="I23" s="539"/>
    </row>
    <row r="24" spans="1:9" ht="6.75" customHeight="1"/>
    <row r="25" spans="1:9" ht="17.100000000000001" customHeight="1">
      <c r="C25" s="41" t="s">
        <v>10</v>
      </c>
      <c r="H25" s="3" t="s">
        <v>10</v>
      </c>
    </row>
    <row r="26" spans="1:9" ht="50.25" customHeight="1">
      <c r="C26" s="3"/>
      <c r="F26" s="3"/>
      <c r="H26" s="3"/>
    </row>
    <row r="27" spans="1:9" ht="17.100000000000001" customHeight="1">
      <c r="C27" s="226" t="s">
        <v>122</v>
      </c>
      <c r="F27" s="3"/>
      <c r="H27" s="3" t="s">
        <v>26</v>
      </c>
    </row>
    <row r="28" spans="1:9" ht="17.100000000000001" customHeight="1">
      <c r="C28" s="3"/>
      <c r="F28" s="3"/>
      <c r="H28" s="3" t="s">
        <v>25</v>
      </c>
    </row>
    <row r="29" spans="1:9" ht="17.100000000000001" customHeight="1">
      <c r="C29" s="3"/>
    </row>
    <row r="32" spans="1:9" ht="14.25">
      <c r="F32" s="3"/>
    </row>
  </sheetData>
  <mergeCells count="8">
    <mergeCell ref="B18:C18"/>
    <mergeCell ref="B19:C19"/>
    <mergeCell ref="B20:C20"/>
    <mergeCell ref="B23:I23"/>
    <mergeCell ref="A1:I1"/>
    <mergeCell ref="A2:I2"/>
    <mergeCell ref="A6:I6"/>
    <mergeCell ref="A14:I14"/>
  </mergeCells>
  <pageMargins left="0.78740157480314965" right="0.19685039370078741" top="0.23622047244094491" bottom="0.23622047244094491" header="0.19685039370078741" footer="0.19685039370078741"/>
  <pageSetup paperSize="257" scale="9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P221"/>
  <sheetViews>
    <sheetView showZeros="0" topLeftCell="A51" zoomScaleNormal="100" zoomScaleSheetLayoutView="110" workbookViewId="0">
      <selection activeCell="B49" sqref="B49"/>
    </sheetView>
  </sheetViews>
  <sheetFormatPr defaultRowHeight="12.75"/>
  <cols>
    <col min="1" max="1" width="4.7109375" style="10" customWidth="1"/>
    <col min="2" max="2" width="13.140625" style="10" customWidth="1"/>
    <col min="3" max="3" width="57.85546875" style="11" customWidth="1"/>
    <col min="4" max="4" width="8.5703125" style="7" customWidth="1"/>
    <col min="5" max="5" width="10.7109375" style="7" customWidth="1"/>
    <col min="6" max="6" width="12.7109375" style="7" customWidth="1"/>
    <col min="7" max="7" width="14.7109375" style="7" customWidth="1"/>
    <col min="8" max="16384" width="9.140625" style="1"/>
  </cols>
  <sheetData>
    <row r="1" spans="1:7" ht="25.5" customHeight="1">
      <c r="A1" s="546" t="s">
        <v>121</v>
      </c>
      <c r="B1" s="546"/>
      <c r="C1" s="546"/>
      <c r="D1" s="546"/>
      <c r="E1" s="546"/>
      <c r="F1" s="546"/>
      <c r="G1" s="546"/>
    </row>
    <row r="2" spans="1:7" s="2" customFormat="1" ht="31.5" customHeight="1">
      <c r="A2" s="547" t="s">
        <v>158</v>
      </c>
      <c r="B2" s="547"/>
      <c r="C2" s="547"/>
      <c r="D2" s="547"/>
      <c r="E2" s="547"/>
      <c r="F2" s="547"/>
      <c r="G2" s="547"/>
    </row>
    <row r="3" spans="1:7" ht="25.5" customHeight="1">
      <c r="A3" s="550" t="s">
        <v>104</v>
      </c>
      <c r="B3" s="550"/>
      <c r="C3" s="550"/>
      <c r="D3" s="550"/>
      <c r="E3" s="550"/>
      <c r="F3" s="550"/>
      <c r="G3" s="550"/>
    </row>
    <row r="4" spans="1:7" ht="8.25" customHeight="1" thickBot="1">
      <c r="A4" s="6"/>
      <c r="B4" s="6"/>
      <c r="C4" s="54"/>
      <c r="D4" s="6"/>
      <c r="E4" s="6"/>
      <c r="F4" s="6"/>
      <c r="G4" s="6"/>
    </row>
    <row r="5" spans="1:7" ht="39.950000000000003" customHeight="1">
      <c r="A5" s="42" t="s">
        <v>1</v>
      </c>
      <c r="B5" s="43" t="s">
        <v>23</v>
      </c>
      <c r="C5" s="44" t="s">
        <v>3</v>
      </c>
      <c r="D5" s="43" t="s">
        <v>17</v>
      </c>
      <c r="E5" s="56" t="s">
        <v>16</v>
      </c>
      <c r="F5" s="45" t="s">
        <v>24</v>
      </c>
      <c r="G5" s="62" t="s">
        <v>30</v>
      </c>
    </row>
    <row r="6" spans="1:7" s="15" customFormat="1" ht="20.100000000000001" customHeight="1" thickBot="1">
      <c r="A6" s="46">
        <v>1</v>
      </c>
      <c r="B6" s="16">
        <v>2</v>
      </c>
      <c r="C6" s="16">
        <v>3</v>
      </c>
      <c r="D6" s="16">
        <v>4</v>
      </c>
      <c r="E6" s="55">
        <v>5</v>
      </c>
      <c r="F6" s="16">
        <v>6</v>
      </c>
      <c r="G6" s="113">
        <v>7</v>
      </c>
    </row>
    <row r="7" spans="1:7" s="15" customFormat="1" ht="20.100000000000001" customHeight="1" thickTop="1" thickBot="1">
      <c r="A7" s="63"/>
      <c r="B7" s="64"/>
      <c r="C7" s="53" t="s">
        <v>2</v>
      </c>
      <c r="D7" s="64"/>
      <c r="E7" s="65"/>
      <c r="F7" s="66"/>
      <c r="G7" s="67"/>
    </row>
    <row r="8" spans="1:7" s="4" customFormat="1" ht="20.100000000000001" customHeight="1" thickTop="1">
      <c r="A8" s="57">
        <v>1</v>
      </c>
      <c r="B8" s="58" t="s">
        <v>55</v>
      </c>
      <c r="C8" s="59" t="s">
        <v>15</v>
      </c>
      <c r="D8" s="58" t="s">
        <v>0</v>
      </c>
      <c r="E8" s="60">
        <v>0.2</v>
      </c>
      <c r="F8" s="165">
        <v>35000</v>
      </c>
      <c r="G8" s="166">
        <f t="shared" ref="G8:G13" si="0">ROUND($F8*E8,2)</f>
        <v>7000</v>
      </c>
    </row>
    <row r="9" spans="1:7" s="4" customFormat="1" ht="35.1" customHeight="1">
      <c r="A9" s="68">
        <v>2</v>
      </c>
      <c r="B9" s="39" t="s">
        <v>58</v>
      </c>
      <c r="C9" s="69" t="s">
        <v>69</v>
      </c>
      <c r="D9" s="39" t="s">
        <v>33</v>
      </c>
      <c r="E9" s="70">
        <v>30</v>
      </c>
      <c r="F9" s="18">
        <v>240</v>
      </c>
      <c r="G9" s="167">
        <f t="shared" si="0"/>
        <v>7200</v>
      </c>
    </row>
    <row r="10" spans="1:7" s="4" customFormat="1" ht="20.100000000000001" customHeight="1">
      <c r="A10" s="68">
        <v>3</v>
      </c>
      <c r="B10" s="39" t="s">
        <v>58</v>
      </c>
      <c r="C10" s="69" t="s">
        <v>70</v>
      </c>
      <c r="D10" s="39" t="s">
        <v>33</v>
      </c>
      <c r="E10" s="70">
        <v>5</v>
      </c>
      <c r="F10" s="18">
        <v>180</v>
      </c>
      <c r="G10" s="167">
        <f t="shared" si="0"/>
        <v>900</v>
      </c>
    </row>
    <row r="11" spans="1:7" s="4" customFormat="1" ht="20.100000000000001" customHeight="1">
      <c r="A11" s="68">
        <v>4</v>
      </c>
      <c r="B11" s="39" t="s">
        <v>46</v>
      </c>
      <c r="C11" s="69" t="s">
        <v>54</v>
      </c>
      <c r="D11" s="93" t="s">
        <v>22</v>
      </c>
      <c r="E11" s="70">
        <v>60</v>
      </c>
      <c r="F11" s="18">
        <v>5</v>
      </c>
      <c r="G11" s="167">
        <f t="shared" si="0"/>
        <v>300</v>
      </c>
    </row>
    <row r="12" spans="1:7" s="4" customFormat="1" ht="20.100000000000001" customHeight="1">
      <c r="A12" s="68">
        <v>5</v>
      </c>
      <c r="B12" s="39" t="s">
        <v>46</v>
      </c>
      <c r="C12" s="69" t="s">
        <v>68</v>
      </c>
      <c r="D12" s="93" t="s">
        <v>22</v>
      </c>
      <c r="E12" s="70">
        <v>120</v>
      </c>
      <c r="F12" s="18">
        <v>15</v>
      </c>
      <c r="G12" s="167">
        <f t="shared" si="0"/>
        <v>1800</v>
      </c>
    </row>
    <row r="13" spans="1:7" s="4" customFormat="1" ht="20.100000000000001" customHeight="1" thickBot="1">
      <c r="A13" s="71">
        <v>6</v>
      </c>
      <c r="B13" s="72" t="s">
        <v>46</v>
      </c>
      <c r="C13" s="73" t="s">
        <v>67</v>
      </c>
      <c r="D13" s="102" t="s">
        <v>22</v>
      </c>
      <c r="E13" s="74">
        <v>180</v>
      </c>
      <c r="F13" s="109">
        <v>15</v>
      </c>
      <c r="G13" s="223">
        <f t="shared" si="0"/>
        <v>2700</v>
      </c>
    </row>
    <row r="14" spans="1:7" s="4" customFormat="1" ht="20.100000000000001" customHeight="1" thickBot="1">
      <c r="A14" s="47"/>
      <c r="B14" s="48"/>
      <c r="C14" s="52" t="s">
        <v>40</v>
      </c>
      <c r="D14" s="49"/>
      <c r="E14" s="50"/>
      <c r="F14" s="51"/>
      <c r="G14" s="168">
        <f>SUM(G8:G13)</f>
        <v>19900</v>
      </c>
    </row>
    <row r="15" spans="1:7" s="4" customFormat="1" ht="20.100000000000001" customHeight="1" thickTop="1" thickBot="1">
      <c r="A15" s="63"/>
      <c r="B15" s="64"/>
      <c r="C15" s="53" t="s">
        <v>37</v>
      </c>
      <c r="D15" s="64"/>
      <c r="E15" s="65"/>
      <c r="F15" s="66"/>
      <c r="G15" s="67"/>
    </row>
    <row r="16" spans="1:7" s="4" customFormat="1" ht="20.100000000000001" customHeight="1" thickTop="1">
      <c r="A16" s="75">
        <v>7</v>
      </c>
      <c r="B16" s="76" t="s">
        <v>36</v>
      </c>
      <c r="C16" s="61" t="s">
        <v>62</v>
      </c>
      <c r="D16" s="76" t="s">
        <v>75</v>
      </c>
      <c r="E16" s="77">
        <v>630</v>
      </c>
      <c r="F16" s="221">
        <v>30</v>
      </c>
      <c r="G16" s="216">
        <f>ROUND($F16*E16,2)</f>
        <v>18900</v>
      </c>
    </row>
    <row r="17" spans="1:7" s="4" customFormat="1" ht="20.100000000000001" customHeight="1">
      <c r="A17" s="68">
        <v>8</v>
      </c>
      <c r="B17" s="39" t="s">
        <v>36</v>
      </c>
      <c r="C17" s="69" t="s">
        <v>77</v>
      </c>
      <c r="D17" s="39" t="s">
        <v>75</v>
      </c>
      <c r="E17" s="78">
        <v>1696.3</v>
      </c>
      <c r="F17" s="18">
        <v>45</v>
      </c>
      <c r="G17" s="222">
        <f>ROUND($F17*E17,2)</f>
        <v>76333.5</v>
      </c>
    </row>
    <row r="18" spans="1:7" s="4" customFormat="1" ht="20.100000000000001" customHeight="1">
      <c r="A18" s="68">
        <v>9</v>
      </c>
      <c r="B18" s="39" t="s">
        <v>61</v>
      </c>
      <c r="C18" s="69" t="s">
        <v>78</v>
      </c>
      <c r="D18" s="39" t="s">
        <v>75</v>
      </c>
      <c r="E18" s="78">
        <v>682.5</v>
      </c>
      <c r="F18" s="18">
        <v>35</v>
      </c>
      <c r="G18" s="222">
        <f>ROUND($F18*E18,2)</f>
        <v>23887.5</v>
      </c>
    </row>
    <row r="19" spans="1:7" s="4" customFormat="1" ht="20.100000000000001" customHeight="1" thickBot="1">
      <c r="A19" s="79">
        <v>10</v>
      </c>
      <c r="B19" s="72" t="s">
        <v>31</v>
      </c>
      <c r="C19" s="80" t="s">
        <v>34</v>
      </c>
      <c r="D19" s="102" t="s">
        <v>22</v>
      </c>
      <c r="E19" s="81">
        <v>2541</v>
      </c>
      <c r="F19" s="109">
        <v>7.5</v>
      </c>
      <c r="G19" s="218">
        <f>ROUND($F19*E19,2)</f>
        <v>19057.5</v>
      </c>
    </row>
    <row r="20" spans="1:7" s="4" customFormat="1" ht="20.100000000000001" customHeight="1" thickBot="1">
      <c r="A20" s="47"/>
      <c r="B20" s="48"/>
      <c r="C20" s="52" t="s">
        <v>42</v>
      </c>
      <c r="D20" s="49"/>
      <c r="E20" s="50"/>
      <c r="F20" s="51"/>
      <c r="G20" s="168">
        <f>SUM(G16:G19)</f>
        <v>138178.5</v>
      </c>
    </row>
    <row r="21" spans="1:7" s="4" customFormat="1" ht="20.100000000000001" customHeight="1" thickTop="1" thickBot="1">
      <c r="A21" s="63"/>
      <c r="B21" s="64"/>
      <c r="C21" s="53" t="s">
        <v>41</v>
      </c>
      <c r="D21" s="64"/>
      <c r="E21" s="65"/>
      <c r="F21" s="66"/>
      <c r="G21" s="67"/>
    </row>
    <row r="22" spans="1:7" s="4" customFormat="1" ht="35.1" customHeight="1" thickTop="1">
      <c r="A22" s="86" t="s">
        <v>71</v>
      </c>
      <c r="B22" s="87" t="s">
        <v>35</v>
      </c>
      <c r="C22" s="88" t="s">
        <v>131</v>
      </c>
      <c r="D22" s="102" t="s">
        <v>22</v>
      </c>
      <c r="E22" s="89">
        <v>2424</v>
      </c>
      <c r="F22" s="165">
        <v>49</v>
      </c>
      <c r="G22" s="166">
        <f>ROUND($F22*E22,2)</f>
        <v>118776</v>
      </c>
    </row>
    <row r="23" spans="1:7" s="4" customFormat="1" ht="35.1" customHeight="1">
      <c r="A23" s="90" t="s">
        <v>72</v>
      </c>
      <c r="B23" s="91" t="s">
        <v>48</v>
      </c>
      <c r="C23" s="92" t="s">
        <v>132</v>
      </c>
      <c r="D23" s="93" t="s">
        <v>22</v>
      </c>
      <c r="E23" s="94">
        <v>2424</v>
      </c>
      <c r="F23" s="18">
        <v>35</v>
      </c>
      <c r="G23" s="217">
        <f>ROUND($F23*E23,2)</f>
        <v>84840</v>
      </c>
    </row>
    <row r="24" spans="1:7" s="4" customFormat="1" ht="35.1" customHeight="1" thickBot="1">
      <c r="A24" s="95">
        <v>13</v>
      </c>
      <c r="B24" s="104" t="s">
        <v>76</v>
      </c>
      <c r="C24" s="73" t="s">
        <v>63</v>
      </c>
      <c r="D24" s="102" t="s">
        <v>22</v>
      </c>
      <c r="E24" s="97">
        <v>117</v>
      </c>
      <c r="F24" s="109">
        <v>30</v>
      </c>
      <c r="G24" s="218">
        <f>ROUND($F24*E24,2)</f>
        <v>3510</v>
      </c>
    </row>
    <row r="25" spans="1:7" s="4" customFormat="1" ht="20.100000000000001" customHeight="1" thickBot="1">
      <c r="A25" s="47"/>
      <c r="B25" s="48"/>
      <c r="C25" s="52" t="s">
        <v>43</v>
      </c>
      <c r="D25" s="49"/>
      <c r="E25" s="50"/>
      <c r="F25" s="51"/>
      <c r="G25" s="168">
        <f>SUM(G22:G24)</f>
        <v>207126</v>
      </c>
    </row>
    <row r="26" spans="1:7" s="4" customFormat="1" ht="20.100000000000001" customHeight="1" thickTop="1" thickBot="1">
      <c r="A26" s="63"/>
      <c r="B26" s="64"/>
      <c r="C26" s="53" t="s">
        <v>38</v>
      </c>
      <c r="D26" s="64"/>
      <c r="E26" s="65"/>
      <c r="F26" s="66"/>
      <c r="G26" s="67"/>
    </row>
    <row r="27" spans="1:7" s="4" customFormat="1" ht="35.1" customHeight="1" thickTop="1">
      <c r="A27" s="98">
        <v>14</v>
      </c>
      <c r="B27" s="105" t="s">
        <v>59</v>
      </c>
      <c r="C27" s="99" t="s">
        <v>133</v>
      </c>
      <c r="D27" s="102" t="s">
        <v>22</v>
      </c>
      <c r="E27" s="77">
        <v>1668</v>
      </c>
      <c r="F27" s="165">
        <v>74</v>
      </c>
      <c r="G27" s="216">
        <f>ROUND($F27*E27,2)</f>
        <v>123432</v>
      </c>
    </row>
    <row r="28" spans="1:7" s="4" customFormat="1" ht="35.1" customHeight="1">
      <c r="A28" s="101">
        <v>15</v>
      </c>
      <c r="B28" s="38" t="s">
        <v>56</v>
      </c>
      <c r="C28" s="69" t="s">
        <v>64</v>
      </c>
      <c r="D28" s="93" t="s">
        <v>22</v>
      </c>
      <c r="E28" s="103">
        <v>756</v>
      </c>
      <c r="F28" s="18">
        <v>78</v>
      </c>
      <c r="G28" s="217">
        <f>ROUND($F28*E28,2)</f>
        <v>58968</v>
      </c>
    </row>
    <row r="29" spans="1:7" s="4" customFormat="1" ht="35.1" customHeight="1" thickBot="1">
      <c r="A29" s="95">
        <v>16</v>
      </c>
      <c r="B29" s="104" t="s">
        <v>59</v>
      </c>
      <c r="C29" s="73" t="s">
        <v>65</v>
      </c>
      <c r="D29" s="102" t="s">
        <v>22</v>
      </c>
      <c r="E29" s="81">
        <v>117</v>
      </c>
      <c r="F29" s="109">
        <v>79</v>
      </c>
      <c r="G29" s="218">
        <f>ROUND($F29*E29,2)</f>
        <v>9243</v>
      </c>
    </row>
    <row r="30" spans="1:7" s="4" customFormat="1" ht="20.100000000000001" customHeight="1" thickBot="1">
      <c r="A30" s="47"/>
      <c r="B30" s="48"/>
      <c r="C30" s="52" t="s">
        <v>44</v>
      </c>
      <c r="D30" s="49"/>
      <c r="E30" s="50"/>
      <c r="F30" s="51"/>
      <c r="G30" s="168">
        <f>SUM(G27:G29)</f>
        <v>191643</v>
      </c>
    </row>
    <row r="31" spans="1:7" s="4" customFormat="1" ht="20.100000000000001" customHeight="1" thickTop="1" thickBot="1">
      <c r="A31" s="63"/>
      <c r="B31" s="64"/>
      <c r="C31" s="53" t="s">
        <v>39</v>
      </c>
      <c r="D31" s="64"/>
      <c r="E31" s="65"/>
      <c r="F31" s="66"/>
      <c r="G31" s="67"/>
    </row>
    <row r="32" spans="1:7" s="4" customFormat="1" ht="35.1" customHeight="1" thickTop="1">
      <c r="A32" s="98">
        <v>17</v>
      </c>
      <c r="B32" s="105" t="s">
        <v>12</v>
      </c>
      <c r="C32" s="99" t="s">
        <v>66</v>
      </c>
      <c r="D32" s="100" t="s">
        <v>13</v>
      </c>
      <c r="E32" s="77">
        <v>209</v>
      </c>
      <c r="F32" s="165">
        <v>60</v>
      </c>
      <c r="G32" s="216">
        <f>ROUND($F32*E32,2)</f>
        <v>12540</v>
      </c>
    </row>
    <row r="33" spans="1:7" s="4" customFormat="1" ht="20.100000000000001" customHeight="1">
      <c r="A33" s="101">
        <v>18</v>
      </c>
      <c r="B33" s="38" t="s">
        <v>57</v>
      </c>
      <c r="C33" s="69" t="s">
        <v>53</v>
      </c>
      <c r="D33" s="102" t="s">
        <v>13</v>
      </c>
      <c r="E33" s="103">
        <v>384</v>
      </c>
      <c r="F33" s="18">
        <v>60</v>
      </c>
      <c r="G33" s="217">
        <f>ROUND($F33*E33,2)</f>
        <v>23040</v>
      </c>
    </row>
    <row r="34" spans="1:7" s="4" customFormat="1" ht="20.100000000000001" customHeight="1">
      <c r="A34" s="273">
        <v>19</v>
      </c>
      <c r="B34" s="38" t="s">
        <v>143</v>
      </c>
      <c r="C34" s="271" t="s">
        <v>144</v>
      </c>
      <c r="D34" s="102" t="s">
        <v>13</v>
      </c>
      <c r="E34" s="94">
        <v>80</v>
      </c>
      <c r="F34" s="272">
        <v>35</v>
      </c>
      <c r="G34" s="217">
        <f>ROUND($F34*E34,2)</f>
        <v>2800</v>
      </c>
    </row>
    <row r="35" spans="1:7" s="4" customFormat="1" ht="35.1" customHeight="1" thickBot="1">
      <c r="A35" s="95">
        <v>20</v>
      </c>
      <c r="B35" s="104" t="s">
        <v>52</v>
      </c>
      <c r="C35" s="73" t="s">
        <v>51</v>
      </c>
      <c r="D35" s="96" t="s">
        <v>13</v>
      </c>
      <c r="E35" s="81">
        <v>322</v>
      </c>
      <c r="F35" s="109">
        <v>45</v>
      </c>
      <c r="G35" s="218">
        <f>ROUND($F35*E35,2)</f>
        <v>14490</v>
      </c>
    </row>
    <row r="36" spans="1:7" s="4" customFormat="1" ht="20.100000000000001" customHeight="1" thickBot="1">
      <c r="A36" s="47"/>
      <c r="B36" s="48"/>
      <c r="C36" s="52" t="s">
        <v>47</v>
      </c>
      <c r="D36" s="49"/>
      <c r="E36" s="50"/>
      <c r="F36" s="51"/>
      <c r="G36" s="168">
        <f>SUM(G32:G35)</f>
        <v>52870</v>
      </c>
    </row>
    <row r="37" spans="1:7" s="4" customFormat="1" ht="20.100000000000001" customHeight="1" thickTop="1" thickBot="1">
      <c r="A37" s="63"/>
      <c r="B37" s="64"/>
      <c r="C37" s="53" t="s">
        <v>79</v>
      </c>
      <c r="D37" s="64"/>
      <c r="E37" s="65"/>
      <c r="F37" s="66" t="s">
        <v>45</v>
      </c>
      <c r="G37" s="67"/>
    </row>
    <row r="38" spans="1:7" s="4" customFormat="1" ht="20.100000000000001" customHeight="1" thickTop="1" thickBot="1">
      <c r="A38" s="82">
        <v>21</v>
      </c>
      <c r="B38" s="106" t="s">
        <v>36</v>
      </c>
      <c r="C38" s="83" t="s">
        <v>60</v>
      </c>
      <c r="D38" s="84" t="s">
        <v>22</v>
      </c>
      <c r="E38" s="85">
        <v>297</v>
      </c>
      <c r="F38" s="219">
        <v>20</v>
      </c>
      <c r="G38" s="220">
        <f>ROUND($F38*E38,2)</f>
        <v>5940</v>
      </c>
    </row>
    <row r="39" spans="1:7" s="4" customFormat="1" ht="20.100000000000001" customHeight="1" thickBot="1">
      <c r="A39" s="47"/>
      <c r="B39" s="48"/>
      <c r="C39" s="52" t="s">
        <v>80</v>
      </c>
      <c r="D39" s="49"/>
      <c r="E39" s="50"/>
      <c r="F39" s="51"/>
      <c r="G39" s="168">
        <f>SUM(G38:G38)</f>
        <v>5940</v>
      </c>
    </row>
    <row r="40" spans="1:7" s="4" customFormat="1" ht="35.1" customHeight="1" thickBot="1">
      <c r="A40" s="153"/>
      <c r="B40" s="154"/>
      <c r="C40" s="155" t="s">
        <v>74</v>
      </c>
      <c r="D40" s="154"/>
      <c r="E40" s="156"/>
      <c r="F40" s="157"/>
      <c r="G40" s="169">
        <f t="shared" ref="G40" si="1">G14+G20+G25+G30+G36+G39</f>
        <v>615657.5</v>
      </c>
    </row>
    <row r="41" spans="1:7" s="2" customFormat="1" ht="15" customHeight="1">
      <c r="A41" s="548"/>
      <c r="B41" s="549"/>
      <c r="C41" s="549"/>
      <c r="D41" s="549"/>
      <c r="E41" s="549"/>
      <c r="F41" s="549"/>
      <c r="G41" s="549"/>
    </row>
    <row r="42" spans="1:7" ht="25.5" customHeight="1" thickBot="1">
      <c r="A42" s="550" t="s">
        <v>105</v>
      </c>
      <c r="B42" s="550"/>
      <c r="C42" s="550"/>
      <c r="D42" s="550"/>
      <c r="E42" s="550"/>
      <c r="F42" s="550"/>
      <c r="G42" s="550"/>
    </row>
    <row r="43" spans="1:7" ht="39.950000000000003" customHeight="1">
      <c r="A43" s="42" t="s">
        <v>1</v>
      </c>
      <c r="B43" s="43" t="s">
        <v>23</v>
      </c>
      <c r="C43" s="44" t="s">
        <v>3</v>
      </c>
      <c r="D43" s="43" t="s">
        <v>17</v>
      </c>
      <c r="E43" s="56" t="s">
        <v>16</v>
      </c>
      <c r="F43" s="45" t="s">
        <v>24</v>
      </c>
      <c r="G43" s="62" t="s">
        <v>30</v>
      </c>
    </row>
    <row r="44" spans="1:7" s="15" customFormat="1" ht="20.100000000000001" customHeight="1" thickBot="1">
      <c r="A44" s="46">
        <v>1</v>
      </c>
      <c r="B44" s="16">
        <v>2</v>
      </c>
      <c r="C44" s="16">
        <v>3</v>
      </c>
      <c r="D44" s="16">
        <v>4</v>
      </c>
      <c r="E44" s="55">
        <v>5</v>
      </c>
      <c r="F44" s="16">
        <v>6</v>
      </c>
      <c r="G44" s="113">
        <v>7</v>
      </c>
    </row>
    <row r="45" spans="1:7" ht="20.100000000000001" customHeight="1" thickTop="1" thickBot="1">
      <c r="A45" s="148"/>
      <c r="B45" s="147"/>
      <c r="C45" s="53" t="s">
        <v>37</v>
      </c>
      <c r="D45" s="146"/>
      <c r="E45" s="145"/>
      <c r="F45" s="144"/>
      <c r="G45" s="143"/>
    </row>
    <row r="46" spans="1:7" s="126" customFormat="1" ht="63.95" customHeight="1" thickTop="1">
      <c r="A46" s="170">
        <v>1</v>
      </c>
      <c r="B46" s="171" t="s">
        <v>88</v>
      </c>
      <c r="C46" s="172" t="s">
        <v>103</v>
      </c>
      <c r="D46" s="173" t="s">
        <v>75</v>
      </c>
      <c r="E46" s="174">
        <v>307.33999999999997</v>
      </c>
      <c r="F46" s="175">
        <v>16.829999999999998</v>
      </c>
      <c r="G46" s="176">
        <f t="shared" ref="G46:G52" si="2">E46*F46</f>
        <v>5172.53</v>
      </c>
    </row>
    <row r="47" spans="1:7" s="126" customFormat="1" ht="44.1" customHeight="1">
      <c r="A47" s="177">
        <f>A46+1</f>
        <v>2</v>
      </c>
      <c r="B47" s="178" t="s">
        <v>88</v>
      </c>
      <c r="C47" s="179" t="s">
        <v>96</v>
      </c>
      <c r="D47" s="180" t="s">
        <v>75</v>
      </c>
      <c r="E47" s="181">
        <v>307.33999999999997</v>
      </c>
      <c r="F47" s="182">
        <v>49.03</v>
      </c>
      <c r="G47" s="183">
        <f t="shared" si="2"/>
        <v>15068.88</v>
      </c>
    </row>
    <row r="48" spans="1:7" s="126" customFormat="1" ht="44.1" customHeight="1">
      <c r="A48" s="177">
        <f t="shared" ref="A48:A52" si="3">A47+1</f>
        <v>3</v>
      </c>
      <c r="B48" s="178" t="s">
        <v>88</v>
      </c>
      <c r="C48" s="184" t="s">
        <v>95</v>
      </c>
      <c r="D48" s="180" t="s">
        <v>75</v>
      </c>
      <c r="E48" s="181">
        <v>149.15</v>
      </c>
      <c r="F48" s="182">
        <v>133.72</v>
      </c>
      <c r="G48" s="183">
        <f t="shared" si="2"/>
        <v>19944.34</v>
      </c>
    </row>
    <row r="49" spans="1:7" s="126" customFormat="1" ht="32.1" customHeight="1">
      <c r="A49" s="177">
        <f t="shared" si="3"/>
        <v>4</v>
      </c>
      <c r="B49" s="178" t="s">
        <v>88</v>
      </c>
      <c r="C49" s="184" t="s">
        <v>94</v>
      </c>
      <c r="D49" s="180" t="s">
        <v>75</v>
      </c>
      <c r="E49" s="181">
        <v>1.06</v>
      </c>
      <c r="F49" s="182">
        <v>346.77</v>
      </c>
      <c r="G49" s="183">
        <f t="shared" si="2"/>
        <v>367.58</v>
      </c>
    </row>
    <row r="50" spans="1:7" s="126" customFormat="1" ht="44.1" customHeight="1">
      <c r="A50" s="177">
        <f t="shared" si="3"/>
        <v>5</v>
      </c>
      <c r="B50" s="178" t="s">
        <v>88</v>
      </c>
      <c r="C50" s="179" t="s">
        <v>93</v>
      </c>
      <c r="D50" s="180" t="s">
        <v>75</v>
      </c>
      <c r="E50" s="181">
        <v>73.2</v>
      </c>
      <c r="F50" s="182">
        <v>110.27</v>
      </c>
      <c r="G50" s="183">
        <f t="shared" si="2"/>
        <v>8071.76</v>
      </c>
    </row>
    <row r="51" spans="1:7" s="126" customFormat="1" ht="32.1" customHeight="1">
      <c r="A51" s="177">
        <f t="shared" si="3"/>
        <v>6</v>
      </c>
      <c r="B51" s="178" t="s">
        <v>88</v>
      </c>
      <c r="C51" s="179" t="s">
        <v>92</v>
      </c>
      <c r="D51" s="180" t="s">
        <v>90</v>
      </c>
      <c r="E51" s="181">
        <v>8</v>
      </c>
      <c r="F51" s="182">
        <v>430.53</v>
      </c>
      <c r="G51" s="183">
        <f t="shared" si="2"/>
        <v>3444.24</v>
      </c>
    </row>
    <row r="52" spans="1:7" s="126" customFormat="1" ht="44.1" customHeight="1">
      <c r="A52" s="177">
        <f t="shared" si="3"/>
        <v>7</v>
      </c>
      <c r="B52" s="178" t="s">
        <v>88</v>
      </c>
      <c r="C52" s="179" t="s">
        <v>91</v>
      </c>
      <c r="D52" s="180" t="s">
        <v>90</v>
      </c>
      <c r="E52" s="181">
        <v>3</v>
      </c>
      <c r="F52" s="182">
        <v>156.97</v>
      </c>
      <c r="G52" s="183">
        <f t="shared" si="2"/>
        <v>470.91</v>
      </c>
    </row>
    <row r="53" spans="1:7" ht="20.100000000000001" customHeight="1" thickBot="1">
      <c r="A53" s="185"/>
      <c r="B53" s="186"/>
      <c r="C53" s="187" t="s">
        <v>42</v>
      </c>
      <c r="D53" s="188"/>
      <c r="E53" s="189"/>
      <c r="F53" s="190"/>
      <c r="G53" s="215">
        <f>SUM(G46:G52)</f>
        <v>52540.24</v>
      </c>
    </row>
    <row r="54" spans="1:7" ht="20.100000000000001" customHeight="1" thickTop="1" thickBot="1">
      <c r="A54" s="148"/>
      <c r="B54" s="147"/>
      <c r="C54" s="53" t="s">
        <v>115</v>
      </c>
      <c r="D54" s="146"/>
      <c r="E54" s="145"/>
      <c r="F54" s="144"/>
      <c r="G54" s="143"/>
    </row>
    <row r="55" spans="1:7" s="126" customFormat="1" ht="44.1" customHeight="1" thickTop="1">
      <c r="A55" s="191">
        <v>8</v>
      </c>
      <c r="B55" s="192" t="s">
        <v>82</v>
      </c>
      <c r="C55" s="193" t="s">
        <v>117</v>
      </c>
      <c r="D55" s="194" t="s">
        <v>81</v>
      </c>
      <c r="E55" s="195">
        <v>134.30000000000001</v>
      </c>
      <c r="F55" s="196">
        <v>390</v>
      </c>
      <c r="G55" s="197">
        <f t="shared" ref="G55:G64" si="4">E55*F55</f>
        <v>52377</v>
      </c>
    </row>
    <row r="56" spans="1:7" s="126" customFormat="1" ht="44.1" customHeight="1">
      <c r="A56" s="198">
        <v>9</v>
      </c>
      <c r="B56" s="200" t="s">
        <v>82</v>
      </c>
      <c r="C56" s="201" t="s">
        <v>119</v>
      </c>
      <c r="D56" s="202" t="s">
        <v>81</v>
      </c>
      <c r="E56" s="203">
        <v>2.5</v>
      </c>
      <c r="F56" s="204">
        <v>280</v>
      </c>
      <c r="G56" s="205">
        <f t="shared" si="4"/>
        <v>700</v>
      </c>
    </row>
    <row r="57" spans="1:7" s="126" customFormat="1" ht="44.1" customHeight="1">
      <c r="A57" s="198">
        <v>10</v>
      </c>
      <c r="B57" s="200" t="s">
        <v>82</v>
      </c>
      <c r="C57" s="201" t="s">
        <v>120</v>
      </c>
      <c r="D57" s="202" t="s">
        <v>81</v>
      </c>
      <c r="E57" s="203">
        <v>9</v>
      </c>
      <c r="F57" s="204">
        <v>190</v>
      </c>
      <c r="G57" s="205">
        <f t="shared" si="4"/>
        <v>1710</v>
      </c>
    </row>
    <row r="58" spans="1:7" s="126" customFormat="1" ht="44.1" customHeight="1">
      <c r="A58" s="198">
        <v>11</v>
      </c>
      <c r="B58" s="200" t="s">
        <v>88</v>
      </c>
      <c r="C58" s="201" t="s">
        <v>89</v>
      </c>
      <c r="D58" s="202" t="s">
        <v>33</v>
      </c>
      <c r="E58" s="203">
        <v>1</v>
      </c>
      <c r="F58" s="204">
        <v>440</v>
      </c>
      <c r="G58" s="205">
        <f t="shared" si="4"/>
        <v>440</v>
      </c>
    </row>
    <row r="59" spans="1:7" s="126" customFormat="1" ht="90" customHeight="1">
      <c r="A59" s="198">
        <v>12</v>
      </c>
      <c r="B59" s="200" t="s">
        <v>82</v>
      </c>
      <c r="C59" s="206" t="s">
        <v>102</v>
      </c>
      <c r="D59" s="202" t="s">
        <v>33</v>
      </c>
      <c r="E59" s="203">
        <v>3</v>
      </c>
      <c r="F59" s="204">
        <v>8534.84</v>
      </c>
      <c r="G59" s="205">
        <f t="shared" si="4"/>
        <v>25604.52</v>
      </c>
    </row>
    <row r="60" spans="1:7" s="126" customFormat="1" ht="32.1" customHeight="1">
      <c r="A60" s="198">
        <v>13</v>
      </c>
      <c r="B60" s="200" t="s">
        <v>82</v>
      </c>
      <c r="C60" s="206" t="s">
        <v>87</v>
      </c>
      <c r="D60" s="202" t="s">
        <v>33</v>
      </c>
      <c r="E60" s="203">
        <v>5</v>
      </c>
      <c r="F60" s="204">
        <v>1660.68</v>
      </c>
      <c r="G60" s="205">
        <f t="shared" si="4"/>
        <v>8303.4</v>
      </c>
    </row>
    <row r="61" spans="1:7" s="126" customFormat="1" ht="32.1" customHeight="1">
      <c r="A61" s="198">
        <v>14</v>
      </c>
      <c r="B61" s="200" t="s">
        <v>82</v>
      </c>
      <c r="C61" s="206" t="s">
        <v>99</v>
      </c>
      <c r="D61" s="202" t="s">
        <v>33</v>
      </c>
      <c r="E61" s="203">
        <v>1</v>
      </c>
      <c r="F61" s="204">
        <v>7807.42</v>
      </c>
      <c r="G61" s="205">
        <f t="shared" si="4"/>
        <v>7807.42</v>
      </c>
    </row>
    <row r="62" spans="1:7" s="126" customFormat="1" ht="44.1" customHeight="1">
      <c r="A62" s="198">
        <v>15</v>
      </c>
      <c r="B62" s="200" t="s">
        <v>82</v>
      </c>
      <c r="C62" s="208" t="s">
        <v>125</v>
      </c>
      <c r="D62" s="202" t="s">
        <v>84</v>
      </c>
      <c r="E62" s="203">
        <v>1</v>
      </c>
      <c r="F62" s="204">
        <v>3540.05</v>
      </c>
      <c r="G62" s="205">
        <f t="shared" si="4"/>
        <v>3540.05</v>
      </c>
    </row>
    <row r="63" spans="1:7" s="126" customFormat="1" ht="44.1" customHeight="1">
      <c r="A63" s="198">
        <v>16</v>
      </c>
      <c r="B63" s="200" t="s">
        <v>82</v>
      </c>
      <c r="C63" s="208" t="s">
        <v>124</v>
      </c>
      <c r="D63" s="199" t="s">
        <v>84</v>
      </c>
      <c r="E63" s="199">
        <v>4</v>
      </c>
      <c r="F63" s="204">
        <v>355.29</v>
      </c>
      <c r="G63" s="205">
        <f t="shared" si="4"/>
        <v>1421.16</v>
      </c>
    </row>
    <row r="64" spans="1:7" s="126" customFormat="1" ht="32.1" customHeight="1" thickBot="1">
      <c r="A64" s="209">
        <v>17</v>
      </c>
      <c r="B64" s="211" t="s">
        <v>82</v>
      </c>
      <c r="C64" s="212" t="s">
        <v>83</v>
      </c>
      <c r="D64" s="210" t="s">
        <v>81</v>
      </c>
      <c r="E64" s="210">
        <v>136.80000000000001</v>
      </c>
      <c r="F64" s="213">
        <v>33</v>
      </c>
      <c r="G64" s="214">
        <f t="shared" si="4"/>
        <v>4514.3999999999996</v>
      </c>
    </row>
    <row r="65" spans="1:7" ht="20.100000000000001" customHeight="1" thickBot="1">
      <c r="A65" s="142"/>
      <c r="B65" s="48"/>
      <c r="C65" s="52" t="s">
        <v>116</v>
      </c>
      <c r="D65" s="49"/>
      <c r="E65" s="141"/>
      <c r="F65" s="140"/>
      <c r="G65" s="168">
        <f>SUM(G55:G64)</f>
        <v>106417.95</v>
      </c>
    </row>
    <row r="66" spans="1:7" ht="35.1" customHeight="1" thickBot="1">
      <c r="A66" s="153"/>
      <c r="B66" s="154"/>
      <c r="C66" s="155" t="s">
        <v>155</v>
      </c>
      <c r="D66" s="154"/>
      <c r="E66" s="156"/>
      <c r="F66" s="157"/>
      <c r="G66" s="169">
        <f>G65+G53</f>
        <v>158958.19</v>
      </c>
    </row>
    <row r="68" spans="1:7" s="126" customFormat="1" ht="20.100000000000001" customHeight="1">
      <c r="A68" s="35"/>
      <c r="B68" s="114" t="s">
        <v>29</v>
      </c>
      <c r="C68" s="114"/>
      <c r="D68" s="114"/>
      <c r="E68" s="114"/>
      <c r="F68" s="114"/>
      <c r="G68" s="139"/>
    </row>
    <row r="69" spans="1:7" s="126" customFormat="1" ht="15">
      <c r="A69" s="36"/>
      <c r="B69" s="132"/>
      <c r="C69" s="131"/>
      <c r="D69" s="114"/>
      <c r="E69" s="114"/>
      <c r="F69" s="114"/>
      <c r="G69" s="114"/>
    </row>
    <row r="70" spans="1:7" s="5" customFormat="1">
      <c r="A70" s="135"/>
      <c r="B70" s="132"/>
      <c r="C70" s="131"/>
      <c r="D70" s="114"/>
      <c r="E70" s="114"/>
      <c r="F70" s="114"/>
      <c r="G70" s="114"/>
    </row>
    <row r="71" spans="1:7" s="138" customFormat="1" ht="25.5" customHeight="1">
      <c r="A71" s="135"/>
      <c r="B71" s="132"/>
      <c r="C71" s="131"/>
      <c r="E71" s="3" t="s">
        <v>10</v>
      </c>
      <c r="F71" s="114"/>
      <c r="G71" s="114"/>
    </row>
    <row r="72" spans="1:7" s="126" customFormat="1" ht="15" hidden="1" customHeight="1">
      <c r="A72" s="136">
        <v>59</v>
      </c>
      <c r="B72" s="132"/>
      <c r="C72" s="131"/>
      <c r="D72" s="114"/>
      <c r="E72" s="114"/>
      <c r="F72" s="3"/>
      <c r="G72" s="130"/>
    </row>
    <row r="73" spans="1:7" s="126" customFormat="1" ht="13.5" hidden="1" customHeight="1">
      <c r="A73" s="136">
        <v>59</v>
      </c>
      <c r="B73" s="132"/>
      <c r="C73" s="131"/>
      <c r="D73" s="114"/>
      <c r="E73" s="114"/>
      <c r="F73" s="3"/>
      <c r="G73" s="137"/>
    </row>
    <row r="74" spans="1:7" s="126" customFormat="1" ht="13.5" hidden="1" customHeight="1">
      <c r="A74" s="136">
        <v>60</v>
      </c>
      <c r="B74" s="132"/>
      <c r="C74" s="131"/>
      <c r="D74" s="114"/>
      <c r="E74" s="114"/>
      <c r="F74" s="3"/>
      <c r="G74" s="130"/>
    </row>
    <row r="75" spans="1:7" s="126" customFormat="1" ht="15" hidden="1" customHeight="1">
      <c r="A75" s="134"/>
      <c r="B75" s="132"/>
      <c r="C75" s="131"/>
      <c r="D75" s="3"/>
      <c r="E75" s="114"/>
      <c r="F75" s="3"/>
      <c r="G75" s="130"/>
    </row>
    <row r="76" spans="1:7" s="126" customFormat="1" ht="15" hidden="1" customHeight="1">
      <c r="A76" s="133"/>
      <c r="B76" s="132"/>
      <c r="C76" s="131"/>
      <c r="D76" s="3"/>
      <c r="E76" s="114"/>
      <c r="F76" s="3"/>
      <c r="G76" s="130"/>
    </row>
    <row r="77" spans="1:7" s="126" customFormat="1" ht="14.25" hidden="1">
      <c r="A77" s="133"/>
      <c r="B77" s="132"/>
      <c r="C77" s="131"/>
      <c r="D77" s="3" t="s">
        <v>107</v>
      </c>
      <c r="E77" s="114"/>
      <c r="F77" s="3"/>
      <c r="G77" s="130"/>
    </row>
    <row r="78" spans="1:7" s="40" customFormat="1" hidden="1">
      <c r="A78" s="133"/>
      <c r="B78" s="132"/>
      <c r="C78" s="131"/>
      <c r="D78" s="114"/>
      <c r="E78" s="114"/>
      <c r="F78" s="114"/>
      <c r="G78" s="130"/>
    </row>
    <row r="79" spans="1:7" s="40" customFormat="1" hidden="1">
      <c r="A79" s="133"/>
      <c r="B79" s="132"/>
      <c r="C79" s="131"/>
      <c r="D79" s="114"/>
      <c r="E79" s="114"/>
      <c r="F79" s="114"/>
      <c r="G79" s="130"/>
    </row>
    <row r="80" spans="1:7" s="40" customFormat="1" ht="44.25" customHeight="1">
      <c r="A80" s="128"/>
      <c r="B80" s="128"/>
      <c r="C80" s="127"/>
    </row>
    <row r="81" spans="1:7" s="126" customFormat="1" ht="14.1" customHeight="1">
      <c r="A81" s="128"/>
      <c r="B81" s="128"/>
      <c r="C81" s="127"/>
      <c r="D81" s="40"/>
      <c r="E81" s="129" t="s">
        <v>122</v>
      </c>
      <c r="F81" s="40"/>
      <c r="G81" s="40"/>
    </row>
    <row r="82" spans="1:7" s="126" customFormat="1">
      <c r="A82" s="128"/>
      <c r="B82" s="128"/>
      <c r="C82" s="127"/>
      <c r="D82" s="40"/>
      <c r="E82" s="40"/>
      <c r="F82" s="40"/>
      <c r="G82" s="40"/>
    </row>
    <row r="86" spans="1:7">
      <c r="G86" s="225"/>
    </row>
    <row r="221" spans="1:16" s="10" customFormat="1">
      <c r="A221" s="10">
        <v>34</v>
      </c>
      <c r="C221" s="11"/>
      <c r="D221" s="7"/>
      <c r="E221" s="7"/>
      <c r="F221" s="7"/>
      <c r="G221" s="7"/>
      <c r="H221" s="1"/>
      <c r="I221" s="1"/>
      <c r="J221" s="1"/>
      <c r="K221" s="1"/>
      <c r="L221" s="1"/>
      <c r="M221" s="1"/>
      <c r="N221" s="1"/>
      <c r="O221" s="1"/>
      <c r="P221" s="1"/>
    </row>
  </sheetData>
  <mergeCells count="5">
    <mergeCell ref="A42:G42"/>
    <mergeCell ref="A1:G1"/>
    <mergeCell ref="A2:G2"/>
    <mergeCell ref="A3:G3"/>
    <mergeCell ref="A41:G41"/>
  </mergeCells>
  <pageMargins left="0.86614173228346458" right="0.23622047244094491" top="0.51181102362204722" bottom="0.9055118110236221" header="0.31496062992125984" footer="0.39370078740157483"/>
  <pageSetup paperSize="9" scale="75" orientation="portrait" horizontalDpi="4294967295" verticalDpi="300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0"/>
  </sheetPr>
  <dimension ref="A1:E209"/>
  <sheetViews>
    <sheetView showZeros="0" topLeftCell="A31" zoomScaleNormal="100" zoomScaleSheetLayoutView="110" workbookViewId="0">
      <selection activeCell="B49" sqref="B49"/>
    </sheetView>
  </sheetViews>
  <sheetFormatPr defaultRowHeight="12.75"/>
  <cols>
    <col min="1" max="1" width="4.7109375" style="10" customWidth="1"/>
    <col min="2" max="2" width="13.140625" style="10" customWidth="1"/>
    <col min="3" max="3" width="57.85546875" style="11" customWidth="1"/>
    <col min="4" max="4" width="8.5703125" style="7" customWidth="1"/>
    <col min="5" max="5" width="10.7109375" style="7" customWidth="1"/>
    <col min="6" max="16384" width="9.140625" style="1"/>
  </cols>
  <sheetData>
    <row r="1" spans="1:5" ht="25.5" customHeight="1">
      <c r="A1" s="546" t="s">
        <v>156</v>
      </c>
      <c r="B1" s="546"/>
      <c r="C1" s="546"/>
      <c r="D1" s="546"/>
      <c r="E1" s="546"/>
    </row>
    <row r="2" spans="1:5" s="2" customFormat="1" ht="31.5" customHeight="1">
      <c r="A2" s="547" t="s">
        <v>159</v>
      </c>
      <c r="B2" s="547"/>
      <c r="C2" s="547"/>
      <c r="D2" s="547"/>
      <c r="E2" s="547"/>
    </row>
    <row r="3" spans="1:5" ht="25.5" customHeight="1">
      <c r="A3" s="550" t="s">
        <v>104</v>
      </c>
      <c r="B3" s="550"/>
      <c r="C3" s="550"/>
      <c r="D3" s="550"/>
      <c r="E3" s="550"/>
    </row>
    <row r="4" spans="1:5" ht="8.25" customHeight="1" thickBot="1">
      <c r="A4" s="6"/>
      <c r="B4" s="6"/>
      <c r="C4" s="54"/>
      <c r="D4" s="6"/>
      <c r="E4" s="6"/>
    </row>
    <row r="5" spans="1:5" ht="39.950000000000003" customHeight="1">
      <c r="A5" s="42" t="s">
        <v>1</v>
      </c>
      <c r="B5" s="43" t="s">
        <v>23</v>
      </c>
      <c r="C5" s="44" t="s">
        <v>3</v>
      </c>
      <c r="D5" s="43" t="s">
        <v>17</v>
      </c>
      <c r="E5" s="227" t="s">
        <v>16</v>
      </c>
    </row>
    <row r="6" spans="1:5" s="15" customFormat="1" ht="20.100000000000001" customHeight="1" thickBot="1">
      <c r="A6" s="46">
        <v>1</v>
      </c>
      <c r="B6" s="16">
        <v>2</v>
      </c>
      <c r="C6" s="16">
        <v>3</v>
      </c>
      <c r="D6" s="16">
        <v>4</v>
      </c>
      <c r="E6" s="228">
        <v>5</v>
      </c>
    </row>
    <row r="7" spans="1:5" s="15" customFormat="1" ht="20.100000000000001" customHeight="1" thickTop="1" thickBot="1">
      <c r="A7" s="63"/>
      <c r="B7" s="64"/>
      <c r="C7" s="53" t="s">
        <v>2</v>
      </c>
      <c r="D7" s="64"/>
      <c r="E7" s="229"/>
    </row>
    <row r="8" spans="1:5" s="4" customFormat="1" ht="20.100000000000001" customHeight="1" thickTop="1">
      <c r="A8" s="57">
        <v>1</v>
      </c>
      <c r="B8" s="58" t="s">
        <v>55</v>
      </c>
      <c r="C8" s="59" t="s">
        <v>15</v>
      </c>
      <c r="D8" s="58" t="s">
        <v>0</v>
      </c>
      <c r="E8" s="230">
        <v>0.2</v>
      </c>
    </row>
    <row r="9" spans="1:5" s="4" customFormat="1" ht="35.1" customHeight="1">
      <c r="A9" s="68">
        <v>2</v>
      </c>
      <c r="B9" s="39" t="s">
        <v>58</v>
      </c>
      <c r="C9" s="69" t="s">
        <v>69</v>
      </c>
      <c r="D9" s="39" t="s">
        <v>33</v>
      </c>
      <c r="E9" s="231">
        <v>30</v>
      </c>
    </row>
    <row r="10" spans="1:5" s="4" customFormat="1" ht="20.100000000000001" customHeight="1">
      <c r="A10" s="68">
        <v>3</v>
      </c>
      <c r="B10" s="39" t="s">
        <v>58</v>
      </c>
      <c r="C10" s="69" t="s">
        <v>70</v>
      </c>
      <c r="D10" s="39" t="s">
        <v>33</v>
      </c>
      <c r="E10" s="231">
        <v>5</v>
      </c>
    </row>
    <row r="11" spans="1:5" s="4" customFormat="1" ht="20.100000000000001" customHeight="1">
      <c r="A11" s="68">
        <v>4</v>
      </c>
      <c r="B11" s="39" t="s">
        <v>46</v>
      </c>
      <c r="C11" s="69" t="s">
        <v>54</v>
      </c>
      <c r="D11" s="93" t="s">
        <v>22</v>
      </c>
      <c r="E11" s="231">
        <v>60</v>
      </c>
    </row>
    <row r="12" spans="1:5" s="4" customFormat="1" ht="20.100000000000001" customHeight="1">
      <c r="A12" s="68">
        <v>5</v>
      </c>
      <c r="B12" s="39" t="s">
        <v>46</v>
      </c>
      <c r="C12" s="69" t="s">
        <v>68</v>
      </c>
      <c r="D12" s="93" t="s">
        <v>22</v>
      </c>
      <c r="E12" s="231">
        <v>120</v>
      </c>
    </row>
    <row r="13" spans="1:5" s="4" customFormat="1" ht="20.100000000000001" customHeight="1" thickBot="1">
      <c r="A13" s="71">
        <v>6</v>
      </c>
      <c r="B13" s="72" t="s">
        <v>46</v>
      </c>
      <c r="C13" s="73" t="s">
        <v>67</v>
      </c>
      <c r="D13" s="102" t="s">
        <v>22</v>
      </c>
      <c r="E13" s="232">
        <v>180</v>
      </c>
    </row>
    <row r="14" spans="1:5" s="4" customFormat="1" ht="20.100000000000001" customHeight="1" thickTop="1" thickBot="1">
      <c r="A14" s="63"/>
      <c r="B14" s="64"/>
      <c r="C14" s="53" t="s">
        <v>37</v>
      </c>
      <c r="D14" s="64"/>
      <c r="E14" s="229"/>
    </row>
    <row r="15" spans="1:5" s="4" customFormat="1" ht="20.100000000000001" customHeight="1" thickTop="1">
      <c r="A15" s="75">
        <v>7</v>
      </c>
      <c r="B15" s="76" t="s">
        <v>36</v>
      </c>
      <c r="C15" s="61" t="s">
        <v>62</v>
      </c>
      <c r="D15" s="76" t="s">
        <v>75</v>
      </c>
      <c r="E15" s="233">
        <v>630</v>
      </c>
    </row>
    <row r="16" spans="1:5" s="4" customFormat="1" ht="20.100000000000001" customHeight="1">
      <c r="A16" s="68">
        <v>8</v>
      </c>
      <c r="B16" s="39" t="s">
        <v>36</v>
      </c>
      <c r="C16" s="69" t="s">
        <v>77</v>
      </c>
      <c r="D16" s="39" t="s">
        <v>75</v>
      </c>
      <c r="E16" s="234">
        <v>1696.3</v>
      </c>
    </row>
    <row r="17" spans="1:5" s="4" customFormat="1" ht="20.100000000000001" customHeight="1">
      <c r="A17" s="68">
        <v>9</v>
      </c>
      <c r="B17" s="39" t="s">
        <v>61</v>
      </c>
      <c r="C17" s="69" t="s">
        <v>78</v>
      </c>
      <c r="D17" s="39" t="s">
        <v>75</v>
      </c>
      <c r="E17" s="234">
        <v>682.5</v>
      </c>
    </row>
    <row r="18" spans="1:5" s="4" customFormat="1" ht="20.100000000000001" customHeight="1" thickBot="1">
      <c r="A18" s="79">
        <v>10</v>
      </c>
      <c r="B18" s="72" t="s">
        <v>31</v>
      </c>
      <c r="C18" s="80" t="s">
        <v>34</v>
      </c>
      <c r="D18" s="102" t="s">
        <v>22</v>
      </c>
      <c r="E18" s="235">
        <v>2541</v>
      </c>
    </row>
    <row r="19" spans="1:5" s="4" customFormat="1" ht="20.100000000000001" customHeight="1" thickTop="1" thickBot="1">
      <c r="A19" s="63"/>
      <c r="B19" s="64"/>
      <c r="C19" s="53" t="s">
        <v>41</v>
      </c>
      <c r="D19" s="64"/>
      <c r="E19" s="229"/>
    </row>
    <row r="20" spans="1:5" s="4" customFormat="1" ht="35.1" customHeight="1" thickTop="1">
      <c r="A20" s="86" t="s">
        <v>71</v>
      </c>
      <c r="B20" s="87" t="s">
        <v>35</v>
      </c>
      <c r="C20" s="88" t="s">
        <v>131</v>
      </c>
      <c r="D20" s="102" t="s">
        <v>22</v>
      </c>
      <c r="E20" s="236">
        <v>2424</v>
      </c>
    </row>
    <row r="21" spans="1:5" s="4" customFormat="1" ht="35.1" customHeight="1">
      <c r="A21" s="90" t="s">
        <v>72</v>
      </c>
      <c r="B21" s="91" t="s">
        <v>48</v>
      </c>
      <c r="C21" s="92" t="s">
        <v>132</v>
      </c>
      <c r="D21" s="93" t="s">
        <v>22</v>
      </c>
      <c r="E21" s="237">
        <v>2424</v>
      </c>
    </row>
    <row r="22" spans="1:5" s="4" customFormat="1" ht="35.1" customHeight="1" thickBot="1">
      <c r="A22" s="95">
        <v>13</v>
      </c>
      <c r="B22" s="104" t="s">
        <v>76</v>
      </c>
      <c r="C22" s="73" t="s">
        <v>63</v>
      </c>
      <c r="D22" s="102" t="s">
        <v>22</v>
      </c>
      <c r="E22" s="238">
        <v>117</v>
      </c>
    </row>
    <row r="23" spans="1:5" s="4" customFormat="1" ht="20.100000000000001" customHeight="1" thickTop="1" thickBot="1">
      <c r="A23" s="63"/>
      <c r="B23" s="64"/>
      <c r="C23" s="53" t="s">
        <v>38</v>
      </c>
      <c r="D23" s="64"/>
      <c r="E23" s="229"/>
    </row>
    <row r="24" spans="1:5" s="4" customFormat="1" ht="35.1" customHeight="1" thickTop="1">
      <c r="A24" s="98">
        <v>14</v>
      </c>
      <c r="B24" s="105" t="s">
        <v>59</v>
      </c>
      <c r="C24" s="99" t="s">
        <v>133</v>
      </c>
      <c r="D24" s="102" t="s">
        <v>22</v>
      </c>
      <c r="E24" s="233">
        <v>1668</v>
      </c>
    </row>
    <row r="25" spans="1:5" s="4" customFormat="1" ht="35.1" customHeight="1">
      <c r="A25" s="101">
        <v>15</v>
      </c>
      <c r="B25" s="38" t="s">
        <v>56</v>
      </c>
      <c r="C25" s="69" t="s">
        <v>64</v>
      </c>
      <c r="D25" s="93" t="s">
        <v>22</v>
      </c>
      <c r="E25" s="239">
        <v>756</v>
      </c>
    </row>
    <row r="26" spans="1:5" s="4" customFormat="1" ht="35.1" customHeight="1" thickBot="1">
      <c r="A26" s="95">
        <v>16</v>
      </c>
      <c r="B26" s="104" t="s">
        <v>59</v>
      </c>
      <c r="C26" s="73" t="s">
        <v>65</v>
      </c>
      <c r="D26" s="102" t="s">
        <v>22</v>
      </c>
      <c r="E26" s="235">
        <v>117</v>
      </c>
    </row>
    <row r="27" spans="1:5" s="4" customFormat="1" ht="20.100000000000001" customHeight="1" thickTop="1" thickBot="1">
      <c r="A27" s="63"/>
      <c r="B27" s="64"/>
      <c r="C27" s="53" t="s">
        <v>39</v>
      </c>
      <c r="D27" s="64"/>
      <c r="E27" s="229"/>
    </row>
    <row r="28" spans="1:5" s="4" customFormat="1" ht="35.1" customHeight="1" thickTop="1">
      <c r="A28" s="98">
        <v>17</v>
      </c>
      <c r="B28" s="105" t="s">
        <v>12</v>
      </c>
      <c r="C28" s="99" t="s">
        <v>66</v>
      </c>
      <c r="D28" s="100" t="s">
        <v>13</v>
      </c>
      <c r="E28" s="233">
        <v>209</v>
      </c>
    </row>
    <row r="29" spans="1:5" s="4" customFormat="1" ht="20.100000000000001" customHeight="1">
      <c r="A29" s="101">
        <v>18</v>
      </c>
      <c r="B29" s="38" t="s">
        <v>57</v>
      </c>
      <c r="C29" s="69" t="s">
        <v>53</v>
      </c>
      <c r="D29" s="102" t="s">
        <v>13</v>
      </c>
      <c r="E29" s="239">
        <v>384</v>
      </c>
    </row>
    <row r="30" spans="1:5" s="4" customFormat="1" ht="20.100000000000001" customHeight="1">
      <c r="A30" s="273">
        <v>19</v>
      </c>
      <c r="B30" s="38" t="s">
        <v>143</v>
      </c>
      <c r="C30" s="271" t="s">
        <v>144</v>
      </c>
      <c r="D30" s="102" t="s">
        <v>13</v>
      </c>
      <c r="E30" s="237">
        <v>80</v>
      </c>
    </row>
    <row r="31" spans="1:5" s="4" customFormat="1" ht="35.1" customHeight="1" thickBot="1">
      <c r="A31" s="95">
        <v>20</v>
      </c>
      <c r="B31" s="104" t="s">
        <v>52</v>
      </c>
      <c r="C31" s="73" t="s">
        <v>51</v>
      </c>
      <c r="D31" s="96" t="s">
        <v>13</v>
      </c>
      <c r="E31" s="235">
        <v>322</v>
      </c>
    </row>
    <row r="32" spans="1:5" s="4" customFormat="1" ht="20.100000000000001" customHeight="1" thickTop="1" thickBot="1">
      <c r="A32" s="63"/>
      <c r="B32" s="64"/>
      <c r="C32" s="53" t="s">
        <v>79</v>
      </c>
      <c r="D32" s="64"/>
      <c r="E32" s="229"/>
    </row>
    <row r="33" spans="1:5" s="4" customFormat="1" ht="20.100000000000001" customHeight="1" thickTop="1" thickBot="1">
      <c r="A33" s="251">
        <v>21</v>
      </c>
      <c r="B33" s="252" t="s">
        <v>36</v>
      </c>
      <c r="C33" s="253" t="s">
        <v>60</v>
      </c>
      <c r="D33" s="254" t="s">
        <v>22</v>
      </c>
      <c r="E33" s="255">
        <v>297</v>
      </c>
    </row>
    <row r="34" spans="1:5" s="2" customFormat="1" ht="15" customHeight="1">
      <c r="A34" s="548"/>
      <c r="B34" s="549"/>
      <c r="C34" s="549"/>
      <c r="D34" s="549"/>
      <c r="E34" s="549"/>
    </row>
    <row r="35" spans="1:5" ht="25.5" customHeight="1" thickBot="1">
      <c r="A35" s="550" t="s">
        <v>105</v>
      </c>
      <c r="B35" s="550"/>
      <c r="C35" s="550"/>
      <c r="D35" s="550"/>
      <c r="E35" s="550"/>
    </row>
    <row r="36" spans="1:5" ht="39.950000000000003" customHeight="1">
      <c r="A36" s="42" t="s">
        <v>1</v>
      </c>
      <c r="B36" s="43" t="s">
        <v>23</v>
      </c>
      <c r="C36" s="44" t="s">
        <v>3</v>
      </c>
      <c r="D36" s="43" t="s">
        <v>17</v>
      </c>
      <c r="E36" s="227" t="s">
        <v>16</v>
      </c>
    </row>
    <row r="37" spans="1:5" s="15" customFormat="1" ht="20.100000000000001" customHeight="1" thickBot="1">
      <c r="A37" s="46">
        <v>1</v>
      </c>
      <c r="B37" s="16">
        <v>2</v>
      </c>
      <c r="C37" s="16">
        <v>3</v>
      </c>
      <c r="D37" s="16">
        <v>4</v>
      </c>
      <c r="E37" s="228">
        <v>5</v>
      </c>
    </row>
    <row r="38" spans="1:5" ht="20.100000000000001" customHeight="1" thickTop="1" thickBot="1">
      <c r="A38" s="148"/>
      <c r="B38" s="147"/>
      <c r="C38" s="53" t="s">
        <v>37</v>
      </c>
      <c r="D38" s="146"/>
      <c r="E38" s="240"/>
    </row>
    <row r="39" spans="1:5" s="126" customFormat="1" ht="63.95" customHeight="1" thickTop="1">
      <c r="A39" s="170">
        <v>1</v>
      </c>
      <c r="B39" s="171" t="s">
        <v>88</v>
      </c>
      <c r="C39" s="172" t="s">
        <v>103</v>
      </c>
      <c r="D39" s="173" t="s">
        <v>75</v>
      </c>
      <c r="E39" s="242">
        <v>307.33999999999997</v>
      </c>
    </row>
    <row r="40" spans="1:5" s="126" customFormat="1" ht="44.1" customHeight="1">
      <c r="A40" s="177">
        <f>A39+1</f>
        <v>2</v>
      </c>
      <c r="B40" s="178" t="s">
        <v>88</v>
      </c>
      <c r="C40" s="179" t="s">
        <v>96</v>
      </c>
      <c r="D40" s="180" t="s">
        <v>75</v>
      </c>
      <c r="E40" s="243">
        <v>307.33999999999997</v>
      </c>
    </row>
    <row r="41" spans="1:5" s="126" customFormat="1" ht="44.1" customHeight="1">
      <c r="A41" s="177">
        <f t="shared" ref="A41:A45" si="0">A40+1</f>
        <v>3</v>
      </c>
      <c r="B41" s="178" t="s">
        <v>88</v>
      </c>
      <c r="C41" s="184" t="s">
        <v>95</v>
      </c>
      <c r="D41" s="180" t="s">
        <v>75</v>
      </c>
      <c r="E41" s="243">
        <v>149.15</v>
      </c>
    </row>
    <row r="42" spans="1:5" s="126" customFormat="1" ht="32.1" customHeight="1">
      <c r="A42" s="177">
        <f t="shared" si="0"/>
        <v>4</v>
      </c>
      <c r="B42" s="178" t="s">
        <v>88</v>
      </c>
      <c r="C42" s="184" t="s">
        <v>94</v>
      </c>
      <c r="D42" s="180" t="s">
        <v>75</v>
      </c>
      <c r="E42" s="243">
        <v>1.06</v>
      </c>
    </row>
    <row r="43" spans="1:5" s="126" customFormat="1" ht="44.1" customHeight="1">
      <c r="A43" s="177">
        <f t="shared" si="0"/>
        <v>5</v>
      </c>
      <c r="B43" s="178" t="s">
        <v>88</v>
      </c>
      <c r="C43" s="179" t="s">
        <v>93</v>
      </c>
      <c r="D43" s="180" t="s">
        <v>75</v>
      </c>
      <c r="E43" s="243">
        <v>73.2</v>
      </c>
    </row>
    <row r="44" spans="1:5" s="126" customFormat="1" ht="32.1" customHeight="1">
      <c r="A44" s="177">
        <f t="shared" si="0"/>
        <v>6</v>
      </c>
      <c r="B44" s="178" t="s">
        <v>88</v>
      </c>
      <c r="C44" s="179" t="s">
        <v>92</v>
      </c>
      <c r="D44" s="180" t="s">
        <v>90</v>
      </c>
      <c r="E44" s="243">
        <v>8</v>
      </c>
    </row>
    <row r="45" spans="1:5" s="126" customFormat="1" ht="44.1" customHeight="1" thickBot="1">
      <c r="A45" s="177">
        <f t="shared" si="0"/>
        <v>7</v>
      </c>
      <c r="B45" s="178" t="s">
        <v>88</v>
      </c>
      <c r="C45" s="179" t="s">
        <v>91</v>
      </c>
      <c r="D45" s="180" t="s">
        <v>90</v>
      </c>
      <c r="E45" s="243">
        <v>3</v>
      </c>
    </row>
    <row r="46" spans="1:5" ht="20.100000000000001" customHeight="1" thickTop="1" thickBot="1">
      <c r="A46" s="148"/>
      <c r="B46" s="147"/>
      <c r="C46" s="53" t="s">
        <v>115</v>
      </c>
      <c r="D46" s="146"/>
      <c r="E46" s="240"/>
    </row>
    <row r="47" spans="1:5" s="126" customFormat="1" ht="44.1" customHeight="1" thickTop="1">
      <c r="A47" s="244">
        <v>8</v>
      </c>
      <c r="B47" s="192" t="s">
        <v>82</v>
      </c>
      <c r="C47" s="193" t="s">
        <v>117</v>
      </c>
      <c r="D47" s="194" t="s">
        <v>81</v>
      </c>
      <c r="E47" s="245">
        <v>134.30000000000001</v>
      </c>
    </row>
    <row r="48" spans="1:5" s="126" customFormat="1" ht="44.1" customHeight="1">
      <c r="A48" s="246">
        <v>9</v>
      </c>
      <c r="B48" s="200" t="s">
        <v>82</v>
      </c>
      <c r="C48" s="201" t="s">
        <v>119</v>
      </c>
      <c r="D48" s="202" t="s">
        <v>81</v>
      </c>
      <c r="E48" s="247">
        <v>2.5</v>
      </c>
    </row>
    <row r="49" spans="1:5" s="126" customFormat="1" ht="44.1" customHeight="1">
      <c r="A49" s="246">
        <v>10</v>
      </c>
      <c r="B49" s="200" t="s">
        <v>82</v>
      </c>
      <c r="C49" s="201" t="s">
        <v>120</v>
      </c>
      <c r="D49" s="202" t="s">
        <v>81</v>
      </c>
      <c r="E49" s="247">
        <v>9</v>
      </c>
    </row>
    <row r="50" spans="1:5" s="126" customFormat="1" ht="44.1" customHeight="1">
      <c r="A50" s="246">
        <v>11</v>
      </c>
      <c r="B50" s="200" t="s">
        <v>88</v>
      </c>
      <c r="C50" s="201" t="s">
        <v>89</v>
      </c>
      <c r="D50" s="202" t="s">
        <v>33</v>
      </c>
      <c r="E50" s="247">
        <v>1</v>
      </c>
    </row>
    <row r="51" spans="1:5" s="126" customFormat="1" ht="90" customHeight="1">
      <c r="A51" s="246">
        <v>12</v>
      </c>
      <c r="B51" s="200" t="s">
        <v>82</v>
      </c>
      <c r="C51" s="206" t="s">
        <v>102</v>
      </c>
      <c r="D51" s="202" t="s">
        <v>33</v>
      </c>
      <c r="E51" s="247">
        <v>3</v>
      </c>
    </row>
    <row r="52" spans="1:5" s="126" customFormat="1" ht="32.1" customHeight="1">
      <c r="A52" s="246">
        <v>13</v>
      </c>
      <c r="B52" s="200" t="s">
        <v>82</v>
      </c>
      <c r="C52" s="206" t="s">
        <v>87</v>
      </c>
      <c r="D52" s="202" t="s">
        <v>33</v>
      </c>
      <c r="E52" s="247">
        <v>5</v>
      </c>
    </row>
    <row r="53" spans="1:5" s="126" customFormat="1" ht="32.1" customHeight="1">
      <c r="A53" s="246">
        <v>14</v>
      </c>
      <c r="B53" s="200" t="s">
        <v>82</v>
      </c>
      <c r="C53" s="206" t="s">
        <v>99</v>
      </c>
      <c r="D53" s="202" t="s">
        <v>33</v>
      </c>
      <c r="E53" s="247">
        <v>1</v>
      </c>
    </row>
    <row r="54" spans="1:5" s="126" customFormat="1" ht="44.1" customHeight="1">
      <c r="A54" s="246">
        <v>15</v>
      </c>
      <c r="B54" s="200" t="s">
        <v>82</v>
      </c>
      <c r="C54" s="208" t="s">
        <v>125</v>
      </c>
      <c r="D54" s="202" t="s">
        <v>84</v>
      </c>
      <c r="E54" s="247">
        <v>1</v>
      </c>
    </row>
    <row r="55" spans="1:5" s="126" customFormat="1" ht="44.1" customHeight="1">
      <c r="A55" s="246">
        <v>16</v>
      </c>
      <c r="B55" s="200" t="s">
        <v>82</v>
      </c>
      <c r="C55" s="208" t="s">
        <v>124</v>
      </c>
      <c r="D55" s="199" t="s">
        <v>84</v>
      </c>
      <c r="E55" s="248">
        <v>4</v>
      </c>
    </row>
    <row r="56" spans="1:5" s="126" customFormat="1" ht="32.1" customHeight="1" thickBot="1">
      <c r="A56" s="249">
        <v>17</v>
      </c>
      <c r="B56" s="211" t="s">
        <v>82</v>
      </c>
      <c r="C56" s="212" t="s">
        <v>83</v>
      </c>
      <c r="D56" s="210" t="s">
        <v>81</v>
      </c>
      <c r="E56" s="250">
        <v>136.80000000000001</v>
      </c>
    </row>
    <row r="58" spans="1:5" s="5" customFormat="1">
      <c r="A58" s="135"/>
      <c r="B58" s="132"/>
      <c r="C58" s="131"/>
      <c r="D58" s="114"/>
      <c r="E58" s="114"/>
    </row>
    <row r="59" spans="1:5" s="138" customFormat="1" ht="25.5" customHeight="1">
      <c r="A59" s="135"/>
      <c r="B59" s="132"/>
      <c r="D59" s="3" t="s">
        <v>10</v>
      </c>
    </row>
    <row r="60" spans="1:5" s="126" customFormat="1" ht="15" hidden="1" customHeight="1">
      <c r="A60" s="136">
        <v>59</v>
      </c>
      <c r="B60" s="132"/>
      <c r="C60" s="114"/>
      <c r="D60" s="114"/>
    </row>
    <row r="61" spans="1:5" s="126" customFormat="1" ht="13.5" hidden="1" customHeight="1">
      <c r="A61" s="136">
        <v>59</v>
      </c>
      <c r="B61" s="132"/>
      <c r="C61" s="114"/>
      <c r="D61" s="114"/>
    </row>
    <row r="62" spans="1:5" s="126" customFormat="1" ht="13.5" hidden="1" customHeight="1">
      <c r="A62" s="136">
        <v>60</v>
      </c>
      <c r="B62" s="132"/>
      <c r="C62" s="114"/>
      <c r="D62" s="114"/>
    </row>
    <row r="63" spans="1:5" s="126" customFormat="1" ht="15" hidden="1" customHeight="1">
      <c r="A63" s="134"/>
      <c r="B63" s="132"/>
      <c r="C63" s="3"/>
      <c r="D63" s="114"/>
    </row>
    <row r="64" spans="1:5" s="126" customFormat="1" ht="15" hidden="1" customHeight="1">
      <c r="A64" s="133"/>
      <c r="B64" s="132"/>
      <c r="C64" s="3"/>
      <c r="D64" s="114"/>
    </row>
    <row r="65" spans="1:5" s="126" customFormat="1" ht="14.25" hidden="1">
      <c r="A65" s="133"/>
      <c r="B65" s="132"/>
      <c r="C65" s="3" t="s">
        <v>107</v>
      </c>
      <c r="D65" s="114"/>
    </row>
    <row r="66" spans="1:5" s="40" customFormat="1" hidden="1">
      <c r="A66" s="133"/>
      <c r="B66" s="132"/>
      <c r="C66" s="114"/>
      <c r="D66" s="114"/>
    </row>
    <row r="67" spans="1:5" s="40" customFormat="1" hidden="1">
      <c r="A67" s="133"/>
      <c r="B67" s="132"/>
      <c r="C67" s="114"/>
      <c r="D67" s="114"/>
    </row>
    <row r="68" spans="1:5" s="40" customFormat="1" ht="44.25" customHeight="1">
      <c r="A68" s="128"/>
      <c r="B68" s="128"/>
    </row>
    <row r="69" spans="1:5" s="126" customFormat="1" ht="14.1" customHeight="1">
      <c r="A69" s="128"/>
      <c r="B69" s="128"/>
      <c r="C69" s="40"/>
      <c r="D69" s="129" t="s">
        <v>122</v>
      </c>
    </row>
    <row r="70" spans="1:5" s="126" customFormat="1">
      <c r="A70" s="128"/>
      <c r="B70" s="128"/>
      <c r="C70" s="127"/>
      <c r="D70" s="40"/>
      <c r="E70" s="40"/>
    </row>
    <row r="209" spans="1:5" s="10" customFormat="1">
      <c r="A209" s="10">
        <v>34</v>
      </c>
      <c r="C209" s="11"/>
      <c r="D209" s="7"/>
      <c r="E209" s="7"/>
    </row>
  </sheetData>
  <mergeCells count="5">
    <mergeCell ref="A35:E35"/>
    <mergeCell ref="A1:E1"/>
    <mergeCell ref="A2:E2"/>
    <mergeCell ref="A3:E3"/>
    <mergeCell ref="A34:E34"/>
  </mergeCells>
  <pageMargins left="0.86614173228346458" right="0.23622047244094491" top="0.51181102362204722" bottom="0.9055118110236221" header="0.31496062992125984" footer="0.39370078740157483"/>
  <pageSetup paperSize="9" scale="75" orientation="portrait" horizontalDpi="4294967295" verticalDpi="300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</sheetPr>
  <dimension ref="A1:D35"/>
  <sheetViews>
    <sheetView showZeros="0" tabSelected="1" zoomScale="91" zoomScaleNormal="91" zoomScaleSheetLayoutView="110" workbookViewId="0">
      <selection activeCell="D33" sqref="D33"/>
    </sheetView>
  </sheetViews>
  <sheetFormatPr defaultRowHeight="12.75"/>
  <cols>
    <col min="1" max="1" width="5.85546875" style="40" customWidth="1"/>
    <col min="2" max="2" width="13.42578125" style="40" customWidth="1"/>
    <col min="3" max="3" width="52.7109375" style="40" customWidth="1"/>
    <col min="4" max="4" width="19.7109375" style="40" customWidth="1"/>
    <col min="5" max="5" width="18.7109375" style="126" customWidth="1"/>
    <col min="6" max="6" width="10.5703125" style="126" customWidth="1"/>
    <col min="7" max="16384" width="9.140625" style="126"/>
  </cols>
  <sheetData>
    <row r="1" spans="1:4" ht="28.5" customHeight="1">
      <c r="A1" s="551" t="s">
        <v>20</v>
      </c>
      <c r="B1" s="551"/>
      <c r="C1" s="551"/>
      <c r="D1" s="551"/>
    </row>
    <row r="2" spans="1:4" s="2" customFormat="1" ht="48" customHeight="1">
      <c r="A2" s="531" t="s">
        <v>223</v>
      </c>
      <c r="B2" s="531"/>
      <c r="C2" s="531"/>
      <c r="D2" s="531"/>
    </row>
    <row r="3" spans="1:4" ht="24.75" customHeight="1" thickBot="1">
      <c r="A3" s="40" t="s">
        <v>50</v>
      </c>
      <c r="C3" s="590" t="s">
        <v>379</v>
      </c>
    </row>
    <row r="4" spans="1:4" s="12" customFormat="1" ht="55.5" customHeight="1" thickBot="1">
      <c r="A4" s="33" t="s">
        <v>1</v>
      </c>
      <c r="B4" s="33" t="s">
        <v>167</v>
      </c>
      <c r="C4" s="33" t="s">
        <v>3</v>
      </c>
      <c r="D4" s="302" t="s">
        <v>185</v>
      </c>
    </row>
    <row r="5" spans="1:4" s="13" customFormat="1" ht="20.100000000000001" customHeight="1" thickBot="1">
      <c r="A5" s="34">
        <v>1</v>
      </c>
      <c r="B5" s="34">
        <v>2</v>
      </c>
      <c r="C5" s="34">
        <v>3</v>
      </c>
      <c r="D5" s="34">
        <v>4</v>
      </c>
    </row>
    <row r="6" spans="1:4" s="13" customFormat="1" ht="24.95" customHeight="1" thickBot="1">
      <c r="A6" s="536" t="s">
        <v>104</v>
      </c>
      <c r="B6" s="537"/>
      <c r="C6" s="537"/>
      <c r="D6" s="297"/>
    </row>
    <row r="7" spans="1:4" s="288" customFormat="1" ht="20.100000000000001" customHeight="1">
      <c r="A7" s="296">
        <v>1</v>
      </c>
      <c r="B7" s="115" t="s">
        <v>4</v>
      </c>
      <c r="C7" s="457" t="str">
        <f>DROGI!C7</f>
        <v>ROBOTY PRZYGOTOWAWCZE</v>
      </c>
      <c r="D7" s="301">
        <f>DROGI!G11</f>
        <v>0</v>
      </c>
    </row>
    <row r="8" spans="1:4" s="288" customFormat="1" ht="20.100000000000001" customHeight="1">
      <c r="A8" s="300">
        <v>2</v>
      </c>
      <c r="B8" s="39" t="s">
        <v>49</v>
      </c>
      <c r="C8" s="427" t="str">
        <f>DROGI!C12</f>
        <v>ROBOTY ZIEMNE</v>
      </c>
      <c r="D8" s="298">
        <f>DROGI!G16</f>
        <v>0</v>
      </c>
    </row>
    <row r="9" spans="1:4" s="288" customFormat="1" ht="20.100000000000001" customHeight="1">
      <c r="A9" s="300">
        <v>3</v>
      </c>
      <c r="B9" s="39" t="s">
        <v>182</v>
      </c>
      <c r="C9" s="427" t="str">
        <f>DROGI!C17</f>
        <v>ODWODNIENIE</v>
      </c>
      <c r="D9" s="298">
        <f>DROGI!G19</f>
        <v>0</v>
      </c>
    </row>
    <row r="10" spans="1:4" s="288" customFormat="1" ht="20.100000000000001" customHeight="1">
      <c r="A10" s="299">
        <v>4</v>
      </c>
      <c r="B10" s="39" t="s">
        <v>5</v>
      </c>
      <c r="C10" s="427" t="str">
        <f>DROGI!C20</f>
        <v>PODBUDOWY</v>
      </c>
      <c r="D10" s="298">
        <f>DROGI!G24</f>
        <v>0</v>
      </c>
    </row>
    <row r="11" spans="1:4" s="288" customFormat="1" ht="20.100000000000001" customHeight="1">
      <c r="A11" s="299">
        <v>5</v>
      </c>
      <c r="B11" s="39" t="s">
        <v>7</v>
      </c>
      <c r="C11" s="427" t="str">
        <f>DROGI!C25</f>
        <v xml:space="preserve"> NAWIERZCHNIE</v>
      </c>
      <c r="D11" s="298">
        <f>DROGI!G28</f>
        <v>0</v>
      </c>
    </row>
    <row r="12" spans="1:4" s="288" customFormat="1" ht="20.100000000000001" customHeight="1">
      <c r="A12" s="299">
        <v>6</v>
      </c>
      <c r="B12" s="39" t="s">
        <v>5</v>
      </c>
      <c r="C12" s="427" t="str">
        <f>DROGI!C29</f>
        <v>ROBOTY  WYKOŃCZENIOWE</v>
      </c>
      <c r="D12" s="298">
        <f>DROGI!G31</f>
        <v>0</v>
      </c>
    </row>
    <row r="13" spans="1:4" s="288" customFormat="1" ht="20.100000000000001" customHeight="1">
      <c r="A13" s="299">
        <v>7</v>
      </c>
      <c r="B13" s="39" t="s">
        <v>7</v>
      </c>
      <c r="C13" s="427" t="str">
        <f>DROGI!C32</f>
        <v>URZĄDZENIA BEZPIECZEŃSTWA RUCHU</v>
      </c>
      <c r="D13" s="298">
        <f>DROGI!G37</f>
        <v>0</v>
      </c>
    </row>
    <row r="14" spans="1:4" s="288" customFormat="1" ht="20.100000000000001" customHeight="1">
      <c r="A14" s="299">
        <v>8</v>
      </c>
      <c r="B14" s="117" t="s">
        <v>153</v>
      </c>
      <c r="C14" s="295" t="str">
        <f>DROGI!C38</f>
        <v>ELEMENTY ULIC</v>
      </c>
      <c r="D14" s="298">
        <f>DROGI!G42</f>
        <v>0</v>
      </c>
    </row>
    <row r="15" spans="1:4" s="294" customFormat="1" ht="20.100000000000001" customHeight="1" thickBot="1">
      <c r="A15" s="291">
        <v>9</v>
      </c>
      <c r="B15" s="117"/>
      <c r="C15" s="295" t="str">
        <f>DROGI!C43</f>
        <v>POZOSTAŁE KOSZTY</v>
      </c>
      <c r="D15" s="298">
        <f>DROGI!G46</f>
        <v>0</v>
      </c>
    </row>
    <row r="16" spans="1:4" s="294" customFormat="1" ht="20.100000000000001" customHeight="1" thickBot="1">
      <c r="A16" s="553" t="s">
        <v>166</v>
      </c>
      <c r="B16" s="554"/>
      <c r="C16" s="554"/>
      <c r="D16" s="279">
        <f>SUM(D7:D15)</f>
        <v>0</v>
      </c>
    </row>
    <row r="17" spans="1:4" s="13" customFormat="1" ht="24.95" customHeight="1" thickBot="1">
      <c r="A17" s="536" t="s">
        <v>194</v>
      </c>
      <c r="B17" s="537"/>
      <c r="C17" s="537"/>
      <c r="D17" s="297"/>
    </row>
    <row r="18" spans="1:4" s="288" customFormat="1" ht="20.100000000000001" customHeight="1" thickBot="1">
      <c r="A18" s="296">
        <v>10</v>
      </c>
      <c r="B18" s="115" t="s">
        <v>220</v>
      </c>
      <c r="C18" s="115" t="str">
        <f>ELEKTRYCZNA!C7</f>
        <v>OŚWIETLENIE DROGOWE</v>
      </c>
      <c r="D18" s="301">
        <f>ELEKTRYCZNA!G34</f>
        <v>0</v>
      </c>
    </row>
    <row r="19" spans="1:4" s="294" customFormat="1" ht="20.100000000000001" customHeight="1" thickBot="1">
      <c r="A19" s="553" t="s">
        <v>191</v>
      </c>
      <c r="B19" s="554"/>
      <c r="C19" s="554"/>
      <c r="D19" s="279">
        <f>SUM(D18:D18)</f>
        <v>0</v>
      </c>
    </row>
    <row r="20" spans="1:4" s="13" customFormat="1" ht="24.95" customHeight="1" thickBot="1">
      <c r="A20" s="536" t="s">
        <v>195</v>
      </c>
      <c r="B20" s="537"/>
      <c r="C20" s="537"/>
      <c r="D20" s="297"/>
    </row>
    <row r="21" spans="1:4" s="288" customFormat="1" ht="34.5" customHeight="1">
      <c r="A21" s="296">
        <v>11</v>
      </c>
      <c r="B21" s="426" t="s">
        <v>383</v>
      </c>
      <c r="C21" s="265" t="str">
        <f>KANALIZACJA!C8</f>
        <v>BUDOWA KORYT FILTRACYNYCH  WYPEŁNIONYCH SUBSTRATEM</v>
      </c>
      <c r="D21" s="301">
        <f>KANALIZACJA!G28</f>
        <v>0</v>
      </c>
    </row>
    <row r="22" spans="1:4" s="288" customFormat="1" ht="20.100000000000001" customHeight="1">
      <c r="A22" s="300">
        <f>A21+1</f>
        <v>12</v>
      </c>
      <c r="B22" s="91" t="s">
        <v>383</v>
      </c>
      <c r="C22" s="427" t="str">
        <f>KANALIZACJA!C29</f>
        <v>BUDOWA MULDY CHŁONNEJ (MULDY  CHŁONNE MCh1)</v>
      </c>
      <c r="D22" s="298">
        <f>KANALIZACJA!G41</f>
        <v>0</v>
      </c>
    </row>
    <row r="23" spans="1:4" s="288" customFormat="1" ht="20.100000000000001" customHeight="1">
      <c r="A23" s="300">
        <f>A22+1</f>
        <v>13</v>
      </c>
      <c r="B23" s="91" t="s">
        <v>383</v>
      </c>
      <c r="C23" s="295" t="str">
        <f>KANALIZACJA!C42</f>
        <v>BUDOWA MULDY CHŁONNEJ (MULDY  CHŁONNE MCh2)</v>
      </c>
      <c r="D23" s="298">
        <f>KANALIZACJA!G55</f>
        <v>0</v>
      </c>
    </row>
    <row r="24" spans="1:4" s="294" customFormat="1" ht="20.100000000000001" customHeight="1" thickBot="1">
      <c r="A24" s="300">
        <v>14</v>
      </c>
      <c r="B24" s="428" t="s">
        <v>383</v>
      </c>
      <c r="C24" s="295" t="str">
        <f>KANALIZACJA!C56</f>
        <v>NASADZENIA ROŚLIN</v>
      </c>
      <c r="D24" s="298">
        <f>KANALIZACJA!G61</f>
        <v>0</v>
      </c>
    </row>
    <row r="25" spans="1:4" s="294" customFormat="1" ht="20.100000000000001" customHeight="1" thickBot="1">
      <c r="A25" s="553" t="s">
        <v>190</v>
      </c>
      <c r="B25" s="554"/>
      <c r="C25" s="554"/>
      <c r="D25" s="279">
        <f>SUM(D21:D24)</f>
        <v>0</v>
      </c>
    </row>
    <row r="26" spans="1:4" s="288" customFormat="1" ht="30" customHeight="1">
      <c r="A26" s="293">
        <v>15</v>
      </c>
      <c r="B26" s="540" t="s">
        <v>380</v>
      </c>
      <c r="C26" s="541"/>
      <c r="D26" s="292">
        <f>D16+D19+D25</f>
        <v>0</v>
      </c>
    </row>
    <row r="27" spans="1:4" s="288" customFormat="1" ht="30" customHeight="1" thickBot="1">
      <c r="A27" s="291">
        <v>16</v>
      </c>
      <c r="B27" s="542" t="s">
        <v>381</v>
      </c>
      <c r="C27" s="543"/>
      <c r="D27" s="290">
        <f t="shared" ref="D27" si="0">ROUND(D26*0.23,2)</f>
        <v>0</v>
      </c>
    </row>
    <row r="28" spans="1:4" s="288" customFormat="1" ht="30" customHeight="1" thickTop="1" thickBot="1">
      <c r="A28" s="289">
        <v>17</v>
      </c>
      <c r="B28" s="544" t="s">
        <v>382</v>
      </c>
      <c r="C28" s="545"/>
      <c r="D28" s="465">
        <f t="shared" ref="D28" si="1">D27+D26</f>
        <v>0</v>
      </c>
    </row>
    <row r="29" spans="1:4" ht="17.100000000000001" customHeight="1" thickTop="1">
      <c r="B29" s="114" t="s">
        <v>9</v>
      </c>
    </row>
    <row r="30" spans="1:4" ht="34.5" customHeight="1">
      <c r="B30" s="552"/>
      <c r="C30" s="552"/>
      <c r="D30" s="552"/>
    </row>
    <row r="31" spans="1:4" ht="18" customHeight="1">
      <c r="C31" s="114"/>
      <c r="D31" s="135" t="s">
        <v>221</v>
      </c>
    </row>
    <row r="32" spans="1:4" ht="62.25" customHeight="1">
      <c r="C32" s="126"/>
      <c r="D32" s="424"/>
    </row>
    <row r="33" spans="1:4">
      <c r="D33" s="425"/>
    </row>
    <row r="35" spans="1:4">
      <c r="A35" s="126"/>
      <c r="B35" s="126"/>
      <c r="C35" s="126"/>
      <c r="D35" s="126"/>
    </row>
  </sheetData>
  <mergeCells count="12">
    <mergeCell ref="B30:D30"/>
    <mergeCell ref="A16:C16"/>
    <mergeCell ref="A19:C19"/>
    <mergeCell ref="A20:C20"/>
    <mergeCell ref="A25:C25"/>
    <mergeCell ref="A1:D1"/>
    <mergeCell ref="A2:D2"/>
    <mergeCell ref="B27:C27"/>
    <mergeCell ref="B28:C28"/>
    <mergeCell ref="B26:C26"/>
    <mergeCell ref="A6:C6"/>
    <mergeCell ref="A17:C17"/>
  </mergeCells>
  <pageMargins left="1.1811023622047245" right="0.19685039370078741" top="0.86614173228346458" bottom="0.23622047244094491" header="0.19685039370078741" footer="0.19685039370078741"/>
  <pageSetup paperSize="9" scale="9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1"/>
  <sheetViews>
    <sheetView showZeros="0" topLeftCell="A35" zoomScaleNormal="100" zoomScaleSheetLayoutView="130" workbookViewId="0">
      <selection activeCell="C53" sqref="C53"/>
    </sheetView>
  </sheetViews>
  <sheetFormatPr defaultRowHeight="12.75"/>
  <cols>
    <col min="1" max="1" width="4.7109375" style="305" customWidth="1"/>
    <col min="2" max="2" width="14.42578125" style="305" customWidth="1"/>
    <col min="3" max="3" width="57.85546875" style="306" customWidth="1"/>
    <col min="4" max="4" width="9.42578125" style="305" customWidth="1"/>
    <col min="5" max="5" width="9.7109375" style="304" customWidth="1"/>
    <col min="6" max="6" width="10.5703125" style="304" customWidth="1"/>
    <col min="7" max="7" width="14.28515625" style="303" customWidth="1"/>
    <col min="8" max="8" width="9.7109375" style="304" hidden="1" customWidth="1"/>
    <col min="9" max="9" width="15.7109375" style="303" hidden="1" customWidth="1"/>
    <col min="10" max="10" width="9.7109375" style="304" hidden="1" customWidth="1"/>
    <col min="11" max="11" width="15.7109375" style="303" hidden="1" customWidth="1"/>
    <col min="12" max="12" width="0" style="126" hidden="1" customWidth="1"/>
    <col min="13" max="13" width="25.85546875" style="126" customWidth="1"/>
    <col min="14" max="16384" width="9.140625" style="126"/>
  </cols>
  <sheetData>
    <row r="1" spans="1:11" ht="25.5" customHeight="1">
      <c r="A1" s="564" t="s">
        <v>385</v>
      </c>
      <c r="B1" s="564"/>
      <c r="C1" s="564"/>
      <c r="D1" s="564"/>
      <c r="E1" s="564"/>
      <c r="F1" s="564"/>
      <c r="G1" s="564"/>
      <c r="H1" s="392"/>
      <c r="I1" s="392"/>
      <c r="J1" s="392"/>
      <c r="K1" s="392"/>
    </row>
    <row r="2" spans="1:11" ht="54.95" customHeight="1">
      <c r="A2" s="565" t="s">
        <v>222</v>
      </c>
      <c r="B2" s="565"/>
      <c r="C2" s="565"/>
      <c r="D2" s="565"/>
      <c r="E2" s="565"/>
      <c r="F2" s="565"/>
      <c r="G2" s="565"/>
      <c r="H2" s="374"/>
      <c r="I2" s="374"/>
      <c r="J2" s="374"/>
      <c r="K2" s="374"/>
    </row>
    <row r="3" spans="1:11" ht="24.95" customHeight="1" thickBot="1">
      <c r="A3" s="559" t="s">
        <v>104</v>
      </c>
      <c r="B3" s="559"/>
      <c r="C3" s="559"/>
      <c r="D3" s="559"/>
      <c r="E3" s="560"/>
      <c r="F3" s="560"/>
      <c r="G3" s="560"/>
      <c r="H3" s="560" t="s">
        <v>186</v>
      </c>
      <c r="I3" s="560"/>
      <c r="J3" s="563" t="s">
        <v>187</v>
      </c>
      <c r="K3" s="563"/>
    </row>
    <row r="4" spans="1:11" ht="45" hidden="1" customHeight="1" thickBot="1">
      <c r="A4" s="393"/>
      <c r="B4" s="393"/>
      <c r="C4" s="393"/>
      <c r="D4" s="393"/>
      <c r="E4" s="561" t="s">
        <v>170</v>
      </c>
      <c r="F4" s="566"/>
      <c r="G4" s="562"/>
      <c r="H4" s="561" t="s">
        <v>170</v>
      </c>
      <c r="I4" s="562"/>
      <c r="J4" s="561" t="s">
        <v>170</v>
      </c>
      <c r="K4" s="562"/>
    </row>
    <row r="5" spans="1:11" ht="39.950000000000003" customHeight="1" thickTop="1">
      <c r="A5" s="320" t="s">
        <v>1</v>
      </c>
      <c r="B5" s="105" t="s">
        <v>169</v>
      </c>
      <c r="C5" s="321" t="s">
        <v>3</v>
      </c>
      <c r="D5" s="105" t="s">
        <v>17</v>
      </c>
      <c r="E5" s="322" t="s">
        <v>16</v>
      </c>
      <c r="F5" s="323" t="s">
        <v>24</v>
      </c>
      <c r="G5" s="324" t="s">
        <v>30</v>
      </c>
      <c r="H5" s="322" t="s">
        <v>16</v>
      </c>
      <c r="I5" s="324" t="s">
        <v>30</v>
      </c>
      <c r="J5" s="322" t="s">
        <v>16</v>
      </c>
      <c r="K5" s="324" t="s">
        <v>30</v>
      </c>
    </row>
    <row r="6" spans="1:11" s="329" customFormat="1" ht="20.100000000000001" customHeight="1" thickBot="1">
      <c r="A6" s="325">
        <v>1</v>
      </c>
      <c r="B6" s="326">
        <v>2</v>
      </c>
      <c r="C6" s="327">
        <v>3</v>
      </c>
      <c r="D6" s="327">
        <v>4</v>
      </c>
      <c r="E6" s="327">
        <v>5</v>
      </c>
      <c r="F6" s="327">
        <v>6</v>
      </c>
      <c r="G6" s="328">
        <v>7</v>
      </c>
      <c r="H6" s="327">
        <v>8</v>
      </c>
      <c r="I6" s="328">
        <v>9</v>
      </c>
      <c r="J6" s="327">
        <v>10</v>
      </c>
      <c r="K6" s="328">
        <v>11</v>
      </c>
    </row>
    <row r="7" spans="1:11" s="329" customFormat="1" ht="24.95" customHeight="1" thickTop="1" thickBot="1">
      <c r="A7" s="330"/>
      <c r="B7" s="331"/>
      <c r="C7" s="332" t="s">
        <v>2</v>
      </c>
      <c r="D7" s="333"/>
      <c r="E7" s="334"/>
      <c r="F7" s="312"/>
      <c r="G7" s="335"/>
      <c r="H7" s="334"/>
      <c r="I7" s="335"/>
      <c r="J7" s="334"/>
      <c r="K7" s="335"/>
    </row>
    <row r="8" spans="1:11" ht="35.1" customHeight="1" thickTop="1">
      <c r="A8" s="336">
        <v>1</v>
      </c>
      <c r="B8" s="337" t="s">
        <v>193</v>
      </c>
      <c r="C8" s="338" t="s">
        <v>15</v>
      </c>
      <c r="D8" s="337" t="s">
        <v>81</v>
      </c>
      <c r="E8" s="372">
        <v>374</v>
      </c>
      <c r="F8" s="313"/>
      <c r="G8" s="339">
        <f>ROUND(E8*$F8,2)</f>
        <v>0</v>
      </c>
      <c r="H8" s="372">
        <f>22350-20998</f>
        <v>1352</v>
      </c>
      <c r="I8" s="339">
        <f>ROUND(H8*$F8,2)</f>
        <v>0</v>
      </c>
      <c r="J8" s="372">
        <f>23986-22350</f>
        <v>1636</v>
      </c>
      <c r="K8" s="339">
        <f>ROUND(J8*$F8,2)</f>
        <v>0</v>
      </c>
    </row>
    <row r="9" spans="1:11" ht="35.1" customHeight="1">
      <c r="A9" s="340">
        <v>2</v>
      </c>
      <c r="B9" s="341" t="s">
        <v>46</v>
      </c>
      <c r="C9" s="342" t="s">
        <v>297</v>
      </c>
      <c r="D9" s="363" t="s">
        <v>163</v>
      </c>
      <c r="E9" s="343">
        <v>21</v>
      </c>
      <c r="F9" s="314"/>
      <c r="G9" s="344">
        <f t="shared" ref="G9" si="0">ROUND(E9*F9,2)</f>
        <v>0</v>
      </c>
      <c r="H9" s="126"/>
      <c r="I9" s="126"/>
      <c r="J9" s="126"/>
      <c r="K9" s="126"/>
    </row>
    <row r="10" spans="1:11" ht="54.95" customHeight="1" thickBot="1">
      <c r="A10" s="340">
        <v>3</v>
      </c>
      <c r="B10" s="341" t="s">
        <v>46</v>
      </c>
      <c r="C10" s="342" t="s">
        <v>290</v>
      </c>
      <c r="D10" s="341" t="s">
        <v>172</v>
      </c>
      <c r="E10" s="343">
        <f>2170+922+191+5</f>
        <v>3288</v>
      </c>
      <c r="F10" s="315"/>
      <c r="G10" s="344">
        <f t="shared" ref="G10" si="1">ROUND(E10*F10,2)</f>
        <v>0</v>
      </c>
      <c r="H10" s="343">
        <f>1352*2.82</f>
        <v>3813</v>
      </c>
      <c r="I10" s="344">
        <f t="shared" ref="I10" si="2">ROUND(H10*$F10,2)</f>
        <v>0</v>
      </c>
      <c r="J10" s="343">
        <f>1635*2.82</f>
        <v>4611</v>
      </c>
      <c r="K10" s="344">
        <f t="shared" ref="K10" si="3">ROUND(J10*$F10,2)</f>
        <v>0</v>
      </c>
    </row>
    <row r="11" spans="1:11" s="288" customFormat="1" ht="24.95" customHeight="1" thickTop="1" thickBot="1">
      <c r="A11" s="345"/>
      <c r="B11" s="346"/>
      <c r="C11" s="347" t="s">
        <v>40</v>
      </c>
      <c r="D11" s="348"/>
      <c r="E11" s="349"/>
      <c r="F11" s="311"/>
      <c r="G11" s="350">
        <f>SUM(G8:G10)</f>
        <v>0</v>
      </c>
      <c r="H11" s="349"/>
      <c r="I11" s="350">
        <f>SUM(I8:I10)</f>
        <v>0</v>
      </c>
      <c r="J11" s="349"/>
      <c r="K11" s="350">
        <f>SUM(K8:K10)</f>
        <v>0</v>
      </c>
    </row>
    <row r="12" spans="1:11" s="288" customFormat="1" ht="24.95" customHeight="1" thickTop="1" thickBot="1">
      <c r="A12" s="330"/>
      <c r="B12" s="333"/>
      <c r="C12" s="332" t="s">
        <v>32</v>
      </c>
      <c r="D12" s="333"/>
      <c r="E12" s="334"/>
      <c r="F12" s="312"/>
      <c r="G12" s="335"/>
      <c r="H12" s="334"/>
      <c r="I12" s="335"/>
      <c r="J12" s="334"/>
      <c r="K12" s="335"/>
    </row>
    <row r="13" spans="1:11" ht="60" customHeight="1" thickTop="1">
      <c r="A13" s="340">
        <f>A10+1</f>
        <v>4</v>
      </c>
      <c r="B13" s="341" t="s">
        <v>36</v>
      </c>
      <c r="C13" s="432" t="s">
        <v>291</v>
      </c>
      <c r="D13" s="363" t="s">
        <v>75</v>
      </c>
      <c r="E13" s="373">
        <f>(2170+922+191+5)*0.4</f>
        <v>1315</v>
      </c>
      <c r="F13" s="314"/>
      <c r="G13" s="364">
        <f t="shared" ref="G13:G15" si="4">ROUND(F13*E13,2)</f>
        <v>0</v>
      </c>
      <c r="H13" s="373">
        <f>15*9</f>
        <v>135</v>
      </c>
      <c r="I13" s="364">
        <f t="shared" ref="I13:I15" si="5">ROUND(H13*$F13,2)</f>
        <v>0</v>
      </c>
      <c r="J13" s="373">
        <f>31*9</f>
        <v>279</v>
      </c>
      <c r="K13" s="364">
        <f t="shared" ref="K13:K15" si="6">ROUND(J13*$F13,2)</f>
        <v>0</v>
      </c>
    </row>
    <row r="14" spans="1:11" ht="45" customHeight="1">
      <c r="A14" s="340">
        <f t="shared" ref="A14:A15" si="7">A13+1</f>
        <v>5</v>
      </c>
      <c r="B14" s="341" t="s">
        <v>61</v>
      </c>
      <c r="C14" s="342" t="s">
        <v>292</v>
      </c>
      <c r="D14" s="363" t="s">
        <v>173</v>
      </c>
      <c r="E14" s="373">
        <f>(2170+922+191+5)*0.2</f>
        <v>658</v>
      </c>
      <c r="F14" s="314"/>
      <c r="G14" s="364">
        <f t="shared" si="4"/>
        <v>0</v>
      </c>
      <c r="H14" s="373">
        <f>(3680+1216*1)*0.35+5*9*3*1.5+16*9*7*1.2</f>
        <v>3126</v>
      </c>
      <c r="I14" s="364">
        <f t="shared" si="5"/>
        <v>0</v>
      </c>
      <c r="J14" s="373">
        <f>4*9*3*1.5+31*9*7*1.2</f>
        <v>2506</v>
      </c>
      <c r="K14" s="364">
        <f t="shared" si="6"/>
        <v>0</v>
      </c>
    </row>
    <row r="15" spans="1:11" ht="45" customHeight="1" thickBot="1">
      <c r="A15" s="340">
        <f t="shared" si="7"/>
        <v>6</v>
      </c>
      <c r="B15" s="341" t="s">
        <v>171</v>
      </c>
      <c r="C15" s="342" t="s">
        <v>293</v>
      </c>
      <c r="D15" s="363" t="s">
        <v>173</v>
      </c>
      <c r="E15" s="373">
        <f>(2170+922+191+5)*0.2</f>
        <v>658</v>
      </c>
      <c r="F15" s="314"/>
      <c r="G15" s="364">
        <f t="shared" si="4"/>
        <v>0</v>
      </c>
      <c r="H15" s="373">
        <f>(3680+1216*1)*0.35+5*9*3*1.5+16*9*7*1.2</f>
        <v>3126</v>
      </c>
      <c r="I15" s="364">
        <f t="shared" si="5"/>
        <v>0</v>
      </c>
      <c r="J15" s="373">
        <f>4*9*3*1.5+31*9*7*1.2</f>
        <v>2506</v>
      </c>
      <c r="K15" s="364">
        <f t="shared" si="6"/>
        <v>0</v>
      </c>
    </row>
    <row r="16" spans="1:11" s="288" customFormat="1" ht="24.95" customHeight="1" thickTop="1" thickBot="1">
      <c r="A16" s="345"/>
      <c r="B16" s="346"/>
      <c r="C16" s="347" t="s">
        <v>42</v>
      </c>
      <c r="D16" s="348"/>
      <c r="E16" s="349"/>
      <c r="F16" s="311"/>
      <c r="G16" s="350">
        <f>SUM(G13:G15)</f>
        <v>0</v>
      </c>
      <c r="H16" s="349"/>
      <c r="I16" s="350">
        <f>SUM(I13:I15)</f>
        <v>0</v>
      </c>
      <c r="J16" s="349"/>
      <c r="K16" s="350">
        <f>SUM(K13:K15)</f>
        <v>0</v>
      </c>
    </row>
    <row r="17" spans="1:11" ht="24.95" customHeight="1" thickTop="1" thickBot="1">
      <c r="A17" s="446"/>
      <c r="B17" s="390"/>
      <c r="C17" s="53" t="s">
        <v>183</v>
      </c>
      <c r="D17" s="146"/>
      <c r="E17" s="145"/>
      <c r="F17" s="144"/>
      <c r="G17" s="447"/>
      <c r="H17" s="126"/>
      <c r="I17" s="126"/>
      <c r="J17" s="126"/>
      <c r="K17" s="126"/>
    </row>
    <row r="18" spans="1:11" ht="35.1" customHeight="1" thickTop="1" thickBot="1">
      <c r="A18" s="448">
        <f>A15+1</f>
        <v>7</v>
      </c>
      <c r="B18" s="449" t="s">
        <v>215</v>
      </c>
      <c r="C18" s="450" t="s">
        <v>217</v>
      </c>
      <c r="D18" s="451" t="s">
        <v>163</v>
      </c>
      <c r="E18" s="452">
        <v>18</v>
      </c>
      <c r="F18" s="453"/>
      <c r="G18" s="454">
        <f>ROUND(F18*E18,2)</f>
        <v>0</v>
      </c>
      <c r="H18" s="126"/>
      <c r="I18" s="126"/>
      <c r="J18" s="126"/>
      <c r="K18" s="126"/>
    </row>
    <row r="19" spans="1:11" ht="24.95" customHeight="1" thickTop="1" thickBot="1">
      <c r="A19" s="345"/>
      <c r="B19" s="455"/>
      <c r="C19" s="347" t="s">
        <v>216</v>
      </c>
      <c r="D19" s="348"/>
      <c r="E19" s="349"/>
      <c r="F19" s="456"/>
      <c r="G19" s="350">
        <f>SUM(G18:G18)</f>
        <v>0</v>
      </c>
      <c r="H19" s="126"/>
      <c r="I19" s="126"/>
      <c r="J19" s="126"/>
      <c r="K19" s="126"/>
    </row>
    <row r="20" spans="1:11" s="288" customFormat="1" ht="24.95" customHeight="1" thickTop="1" thickBot="1">
      <c r="A20" s="330"/>
      <c r="B20" s="333"/>
      <c r="C20" s="332" t="s">
        <v>6</v>
      </c>
      <c r="D20" s="333"/>
      <c r="E20" s="334"/>
      <c r="F20" s="312"/>
      <c r="G20" s="335"/>
      <c r="H20" s="334"/>
      <c r="I20" s="335"/>
      <c r="J20" s="334"/>
      <c r="K20" s="335"/>
    </row>
    <row r="21" spans="1:11" ht="45" customHeight="1" thickTop="1">
      <c r="A21" s="340">
        <f>A18+1</f>
        <v>8</v>
      </c>
      <c r="B21" s="353" t="s">
        <v>174</v>
      </c>
      <c r="C21" s="354" t="s">
        <v>294</v>
      </c>
      <c r="D21" s="353" t="s">
        <v>22</v>
      </c>
      <c r="E21" s="375">
        <f>2170+922+191+5</f>
        <v>3288</v>
      </c>
      <c r="F21" s="317"/>
      <c r="G21" s="365">
        <f t="shared" ref="G21" si="8">ROUND(E21*F21,2)</f>
        <v>0</v>
      </c>
      <c r="H21" s="355">
        <f>1352*2.82</f>
        <v>3813</v>
      </c>
      <c r="I21" s="365">
        <f t="shared" ref="I21:I22" si="9">ROUND(H21*$F21,2)</f>
        <v>0</v>
      </c>
      <c r="J21" s="355">
        <f>1635*2.82</f>
        <v>4611</v>
      </c>
      <c r="K21" s="365">
        <f t="shared" ref="K21:K22" si="10">ROUND(J21*$F21,2)</f>
        <v>0</v>
      </c>
    </row>
    <row r="22" spans="1:11" ht="60" customHeight="1">
      <c r="A22" s="340">
        <f>A21+1</f>
        <v>9</v>
      </c>
      <c r="B22" s="351" t="s">
        <v>176</v>
      </c>
      <c r="C22" s="352" t="s">
        <v>295</v>
      </c>
      <c r="D22" s="351" t="s">
        <v>172</v>
      </c>
      <c r="E22" s="355">
        <f>(2170+922+191+5)-578*0.2-309*0.5</f>
        <v>3018</v>
      </c>
      <c r="F22" s="316"/>
      <c r="G22" s="366">
        <f t="shared" ref="G22" si="11">ROUND(E22*F22,2)</f>
        <v>0</v>
      </c>
      <c r="H22" s="355">
        <f>1352*2.82</f>
        <v>3813</v>
      </c>
      <c r="I22" s="366">
        <f t="shared" si="9"/>
        <v>0</v>
      </c>
      <c r="J22" s="355">
        <f>1635*2.82</f>
        <v>4611</v>
      </c>
      <c r="K22" s="366">
        <f t="shared" si="10"/>
        <v>0</v>
      </c>
    </row>
    <row r="23" spans="1:11" ht="60" customHeight="1" thickBot="1">
      <c r="A23" s="340">
        <f t="shared" ref="A23" si="12">A22+1</f>
        <v>10</v>
      </c>
      <c r="B23" s="351" t="s">
        <v>175</v>
      </c>
      <c r="C23" s="352" t="s">
        <v>296</v>
      </c>
      <c r="D23" s="351" t="s">
        <v>22</v>
      </c>
      <c r="E23" s="355">
        <f>(2170+922+191+5)-578*0.2</f>
        <v>3172</v>
      </c>
      <c r="F23" s="316"/>
      <c r="G23" s="366">
        <f t="shared" ref="G23" si="13">ROUND(E23*F23,2)</f>
        <v>0</v>
      </c>
      <c r="H23" s="355">
        <f>1352*2.82</f>
        <v>3813</v>
      </c>
      <c r="I23" s="366">
        <f t="shared" ref="I23" si="14">ROUND(H23*$F23,2)</f>
        <v>0</v>
      </c>
      <c r="J23" s="355">
        <f>1635*2.82</f>
        <v>4611</v>
      </c>
      <c r="K23" s="366">
        <f t="shared" ref="K23" si="15">ROUND(J23*$F23,2)</f>
        <v>0</v>
      </c>
    </row>
    <row r="24" spans="1:11" s="288" customFormat="1" ht="24.95" customHeight="1" thickTop="1" thickBot="1">
      <c r="A24" s="345"/>
      <c r="B24" s="346"/>
      <c r="C24" s="347" t="s">
        <v>43</v>
      </c>
      <c r="D24" s="348"/>
      <c r="E24" s="349"/>
      <c r="F24" s="311"/>
      <c r="G24" s="350">
        <f>SUM(G21:G23)</f>
        <v>0</v>
      </c>
      <c r="H24" s="349"/>
      <c r="I24" s="350">
        <f>SUM(I21:I23)</f>
        <v>0</v>
      </c>
      <c r="J24" s="349"/>
      <c r="K24" s="350">
        <f>SUM(K21:K23)</f>
        <v>0</v>
      </c>
    </row>
    <row r="25" spans="1:11" s="288" customFormat="1" ht="24.95" customHeight="1" thickTop="1" thickBot="1">
      <c r="A25" s="330"/>
      <c r="B25" s="333"/>
      <c r="C25" s="332" t="s">
        <v>218</v>
      </c>
      <c r="D25" s="333"/>
      <c r="E25" s="334"/>
      <c r="F25" s="312"/>
      <c r="G25" s="335"/>
      <c r="H25" s="334"/>
      <c r="I25" s="335"/>
      <c r="J25" s="334"/>
      <c r="K25" s="335"/>
    </row>
    <row r="26" spans="1:11" ht="45" customHeight="1" thickTop="1">
      <c r="A26" s="340">
        <f>A23+1</f>
        <v>11</v>
      </c>
      <c r="B26" s="351" t="s">
        <v>180</v>
      </c>
      <c r="C26" s="352" t="s">
        <v>374</v>
      </c>
      <c r="D26" s="351" t="s">
        <v>172</v>
      </c>
      <c r="E26" s="355">
        <f>(922+191+5)</f>
        <v>1118</v>
      </c>
      <c r="F26" s="316"/>
      <c r="G26" s="366">
        <f t="shared" ref="G26" si="16">ROUND(E26*F26,2)</f>
        <v>0</v>
      </c>
      <c r="H26" s="417"/>
      <c r="I26" s="366"/>
      <c r="J26" s="417"/>
      <c r="K26" s="366"/>
    </row>
    <row r="27" spans="1:11" ht="45" customHeight="1" thickBot="1">
      <c r="A27" s="340">
        <f t="shared" ref="A27" si="17">A26+1</f>
        <v>12</v>
      </c>
      <c r="B27" s="351" t="s">
        <v>180</v>
      </c>
      <c r="C27" s="352" t="s">
        <v>375</v>
      </c>
      <c r="D27" s="351" t="s">
        <v>22</v>
      </c>
      <c r="E27" s="355">
        <f>2170-46</f>
        <v>2124</v>
      </c>
      <c r="F27" s="316"/>
      <c r="G27" s="366">
        <f t="shared" ref="G27" si="18">ROUND(E27*$F27,2)</f>
        <v>0</v>
      </c>
      <c r="H27" s="417">
        <f>95+86</f>
        <v>181</v>
      </c>
      <c r="I27" s="366">
        <f t="shared" ref="I27" si="19">ROUND(H27*$F27,2)</f>
        <v>0</v>
      </c>
      <c r="J27" s="417"/>
      <c r="K27" s="366">
        <f t="shared" ref="K27" si="20">ROUND(J27*$F27,2)</f>
        <v>0</v>
      </c>
    </row>
    <row r="28" spans="1:11" s="288" customFormat="1" ht="24.95" customHeight="1" thickTop="1" thickBot="1">
      <c r="A28" s="345"/>
      <c r="B28" s="346"/>
      <c r="C28" s="347" t="s">
        <v>44</v>
      </c>
      <c r="D28" s="348"/>
      <c r="E28" s="349"/>
      <c r="F28" s="311"/>
      <c r="G28" s="350">
        <f>SUM(G26:G27)</f>
        <v>0</v>
      </c>
      <c r="H28" s="349"/>
      <c r="I28" s="350">
        <f>SUM(I26:I27)</f>
        <v>0</v>
      </c>
      <c r="J28" s="349"/>
      <c r="K28" s="350">
        <f>SUM(K26:K27)</f>
        <v>0</v>
      </c>
    </row>
    <row r="29" spans="1:11" s="288" customFormat="1" ht="24.95" customHeight="1" thickTop="1" thickBot="1">
      <c r="A29" s="367"/>
      <c r="B29" s="64"/>
      <c r="C29" s="53" t="s">
        <v>287</v>
      </c>
      <c r="D29" s="64"/>
      <c r="E29" s="368"/>
      <c r="F29" s="369"/>
      <c r="G29" s="370"/>
    </row>
    <row r="30" spans="1:11" ht="35.1" customHeight="1" thickTop="1" thickBot="1">
      <c r="A30" s="477">
        <v>13</v>
      </c>
      <c r="B30" s="478" t="s">
        <v>285</v>
      </c>
      <c r="C30" s="352" t="s">
        <v>289</v>
      </c>
      <c r="D30" s="351" t="s">
        <v>22</v>
      </c>
      <c r="E30" s="376">
        <v>164</v>
      </c>
      <c r="F30" s="318"/>
      <c r="G30" s="479">
        <f>ROUND(E30*F30,2)</f>
        <v>0</v>
      </c>
      <c r="H30" s="126"/>
      <c r="I30" s="126"/>
      <c r="J30" s="126"/>
      <c r="K30" s="126"/>
    </row>
    <row r="31" spans="1:11" s="288" customFormat="1" ht="24.95" customHeight="1" thickTop="1" thickBot="1">
      <c r="A31" s="345"/>
      <c r="B31" s="346"/>
      <c r="C31" s="347" t="s">
        <v>286</v>
      </c>
      <c r="D31" s="348"/>
      <c r="E31" s="349"/>
      <c r="F31" s="311"/>
      <c r="G31" s="350">
        <f>SUM(G30:G30)</f>
        <v>0</v>
      </c>
    </row>
    <row r="32" spans="1:11" s="288" customFormat="1" ht="24.95" customHeight="1" thickTop="1" thickBot="1">
      <c r="A32" s="330"/>
      <c r="B32" s="333"/>
      <c r="C32" s="332" t="s">
        <v>141</v>
      </c>
      <c r="D32" s="333"/>
      <c r="E32" s="334"/>
      <c r="F32" s="312"/>
      <c r="G32" s="335"/>
    </row>
    <row r="33" spans="1:11" ht="35.1" customHeight="1" thickTop="1">
      <c r="A33" s="340">
        <v>14</v>
      </c>
      <c r="B33" s="388" t="s">
        <v>282</v>
      </c>
      <c r="C33" s="475" t="s">
        <v>288</v>
      </c>
      <c r="D33" s="388" t="s">
        <v>163</v>
      </c>
      <c r="E33" s="387">
        <v>9</v>
      </c>
      <c r="F33" s="386"/>
      <c r="G33" s="385">
        <f t="shared" ref="G33:G36" si="21">ROUND(E33*$F33,2)</f>
        <v>0</v>
      </c>
      <c r="H33" s="126"/>
      <c r="I33" s="126"/>
      <c r="J33" s="126"/>
      <c r="K33" s="126"/>
    </row>
    <row r="34" spans="1:11" ht="35.1" customHeight="1">
      <c r="A34" s="340">
        <f t="shared" ref="A34:A36" si="22">A33+1</f>
        <v>15</v>
      </c>
      <c r="B34" s="388" t="s">
        <v>282</v>
      </c>
      <c r="C34" s="475" t="s">
        <v>370</v>
      </c>
      <c r="D34" s="388" t="s">
        <v>22</v>
      </c>
      <c r="E34" s="387">
        <v>4</v>
      </c>
      <c r="F34" s="386"/>
      <c r="G34" s="385">
        <f t="shared" si="21"/>
        <v>0</v>
      </c>
      <c r="H34" s="126"/>
      <c r="I34" s="126"/>
      <c r="J34" s="126"/>
      <c r="K34" s="126"/>
    </row>
    <row r="35" spans="1:11" ht="35.1" customHeight="1">
      <c r="A35" s="340">
        <f t="shared" si="22"/>
        <v>16</v>
      </c>
      <c r="B35" s="388" t="s">
        <v>283</v>
      </c>
      <c r="C35" s="475" t="s">
        <v>373</v>
      </c>
      <c r="D35" s="351" t="s">
        <v>163</v>
      </c>
      <c r="E35" s="355">
        <v>25</v>
      </c>
      <c r="F35" s="316"/>
      <c r="G35" s="476">
        <f t="shared" si="21"/>
        <v>0</v>
      </c>
      <c r="H35" s="126"/>
      <c r="I35" s="126"/>
      <c r="J35" s="126"/>
      <c r="K35" s="126"/>
    </row>
    <row r="36" spans="1:11" ht="35.1" customHeight="1" thickBot="1">
      <c r="A36" s="340">
        <f t="shared" si="22"/>
        <v>17</v>
      </c>
      <c r="B36" s="388" t="s">
        <v>135</v>
      </c>
      <c r="C36" s="475" t="s">
        <v>284</v>
      </c>
      <c r="D36" s="351" t="s">
        <v>33</v>
      </c>
      <c r="E36" s="355">
        <v>16</v>
      </c>
      <c r="F36" s="316"/>
      <c r="G36" s="476">
        <f t="shared" si="21"/>
        <v>0</v>
      </c>
      <c r="H36" s="126"/>
      <c r="I36" s="126"/>
      <c r="J36" s="126"/>
      <c r="K36" s="126"/>
    </row>
    <row r="37" spans="1:11" s="288" customFormat="1" ht="24.95" customHeight="1" thickTop="1" thickBot="1">
      <c r="A37" s="345"/>
      <c r="B37" s="346"/>
      <c r="C37" s="347" t="s">
        <v>137</v>
      </c>
      <c r="D37" s="348"/>
      <c r="E37" s="349"/>
      <c r="F37" s="311"/>
      <c r="G37" s="350">
        <f>SUM(G33:G36)</f>
        <v>0</v>
      </c>
    </row>
    <row r="38" spans="1:11" s="288" customFormat="1" ht="24.95" customHeight="1" thickTop="1" thickBot="1">
      <c r="A38" s="330"/>
      <c r="B38" s="333"/>
      <c r="C38" s="332" t="s">
        <v>219</v>
      </c>
      <c r="D38" s="333"/>
      <c r="E38" s="334"/>
      <c r="F38" s="312"/>
      <c r="G38" s="335"/>
      <c r="H38" s="334"/>
      <c r="I38" s="335"/>
      <c r="J38" s="334"/>
      <c r="K38" s="335"/>
    </row>
    <row r="39" spans="1:11" s="288" customFormat="1" ht="54.95" customHeight="1" thickTop="1">
      <c r="A39" s="340">
        <v>18</v>
      </c>
      <c r="B39" s="38" t="s">
        <v>12</v>
      </c>
      <c r="C39" s="69" t="s">
        <v>371</v>
      </c>
      <c r="D39" s="102" t="s">
        <v>13</v>
      </c>
      <c r="E39" s="376">
        <f>309-57-11.43*2</f>
        <v>229</v>
      </c>
      <c r="F39" s="318"/>
      <c r="G39" s="344">
        <f t="shared" ref="G39" si="23">ROUND(E39*$F39,2)</f>
        <v>0</v>
      </c>
      <c r="H39" s="376">
        <f>334-141+28</f>
        <v>221</v>
      </c>
      <c r="I39" s="344">
        <f t="shared" ref="I39" si="24">ROUND(H39*$F39,2)</f>
        <v>0</v>
      </c>
      <c r="J39" s="376">
        <f>641-292</f>
        <v>349</v>
      </c>
      <c r="K39" s="344">
        <f t="shared" ref="K39" si="25">ROUND(J39*$F39,2)</f>
        <v>0</v>
      </c>
    </row>
    <row r="40" spans="1:11" s="288" customFormat="1" ht="45" customHeight="1">
      <c r="A40" s="340">
        <v>19</v>
      </c>
      <c r="B40" s="38" t="s">
        <v>12</v>
      </c>
      <c r="C40" s="69" t="s">
        <v>376</v>
      </c>
      <c r="D40" s="102" t="s">
        <v>13</v>
      </c>
      <c r="E40" s="376">
        <f>578+218</f>
        <v>796</v>
      </c>
      <c r="F40" s="318"/>
      <c r="G40" s="344">
        <f t="shared" ref="G40:G41" si="26">ROUND(E40*$F40,2)</f>
        <v>0</v>
      </c>
      <c r="H40" s="376">
        <f>334-141+28</f>
        <v>221</v>
      </c>
      <c r="I40" s="344">
        <f t="shared" ref="I40:I41" si="27">ROUND(H40*$F40,2)</f>
        <v>0</v>
      </c>
      <c r="J40" s="376">
        <f>641-292</f>
        <v>349</v>
      </c>
      <c r="K40" s="344">
        <f t="shared" ref="K40:K41" si="28">ROUND(J40*$F40,2)</f>
        <v>0</v>
      </c>
    </row>
    <row r="41" spans="1:11" s="288" customFormat="1" ht="54.95" customHeight="1" thickBot="1">
      <c r="A41" s="340">
        <v>20</v>
      </c>
      <c r="B41" s="38" t="s">
        <v>181</v>
      </c>
      <c r="C41" s="69" t="s">
        <v>372</v>
      </c>
      <c r="D41" s="102" t="s">
        <v>13</v>
      </c>
      <c r="E41" s="376">
        <f>309-57-11.43*2</f>
        <v>229</v>
      </c>
      <c r="F41" s="318"/>
      <c r="G41" s="344">
        <f t="shared" si="26"/>
        <v>0</v>
      </c>
      <c r="H41" s="376">
        <f>86+10+71</f>
        <v>167</v>
      </c>
      <c r="I41" s="344">
        <f t="shared" si="27"/>
        <v>0</v>
      </c>
      <c r="J41" s="376"/>
      <c r="K41" s="344">
        <f t="shared" si="28"/>
        <v>0</v>
      </c>
    </row>
    <row r="42" spans="1:11" s="288" customFormat="1" ht="24.95" customHeight="1" thickTop="1" thickBot="1">
      <c r="A42" s="345"/>
      <c r="B42" s="346"/>
      <c r="C42" s="347" t="s">
        <v>47</v>
      </c>
      <c r="D42" s="348"/>
      <c r="E42" s="349"/>
      <c r="F42" s="311"/>
      <c r="G42" s="350">
        <f>SUM(G39:G41)</f>
        <v>0</v>
      </c>
      <c r="H42" s="349"/>
      <c r="I42" s="350">
        <f>SUM(I40:I41)</f>
        <v>0</v>
      </c>
      <c r="J42" s="349"/>
      <c r="K42" s="350">
        <f>SUM(K40:K41)</f>
        <v>0</v>
      </c>
    </row>
    <row r="43" spans="1:11" ht="24.95" customHeight="1" thickTop="1" thickBot="1">
      <c r="A43" s="367"/>
      <c r="B43" s="390"/>
      <c r="C43" s="53" t="s">
        <v>184</v>
      </c>
      <c r="D43" s="64"/>
      <c r="E43" s="368"/>
      <c r="F43" s="369"/>
      <c r="G43" s="370"/>
      <c r="H43" s="368"/>
      <c r="I43" s="370"/>
      <c r="J43" s="368"/>
      <c r="K43" s="370"/>
    </row>
    <row r="44" spans="1:11" ht="35.1" customHeight="1" thickTop="1">
      <c r="A44" s="340">
        <f>A41+1</f>
        <v>21</v>
      </c>
      <c r="B44" s="388"/>
      <c r="C44" s="389" t="s">
        <v>177</v>
      </c>
      <c r="D44" s="388" t="s">
        <v>90</v>
      </c>
      <c r="E44" s="387">
        <v>1</v>
      </c>
      <c r="F44" s="386"/>
      <c r="G44" s="385">
        <f>ROUND(E44*F44,2)</f>
        <v>0</v>
      </c>
      <c r="H44" s="387">
        <v>1</v>
      </c>
      <c r="I44" s="385">
        <f t="shared" ref="I44:I45" si="29">ROUND(H44*$F44,2)</f>
        <v>0</v>
      </c>
      <c r="J44" s="387"/>
      <c r="K44" s="385">
        <f t="shared" ref="K44:K45" si="30">ROUND(J44*$F44,2)</f>
        <v>0</v>
      </c>
    </row>
    <row r="45" spans="1:11" ht="35.1" customHeight="1" thickBot="1">
      <c r="A45" s="340">
        <f t="shared" ref="A45" si="31">A44+1</f>
        <v>22</v>
      </c>
      <c r="B45" s="351"/>
      <c r="C45" s="352" t="s">
        <v>178</v>
      </c>
      <c r="D45" s="351" t="s">
        <v>90</v>
      </c>
      <c r="E45" s="355">
        <v>1</v>
      </c>
      <c r="F45" s="316"/>
      <c r="G45" s="366">
        <f>ROUND(E45*F45,2)</f>
        <v>0</v>
      </c>
      <c r="H45" s="355">
        <v>1</v>
      </c>
      <c r="I45" s="366">
        <f t="shared" si="29"/>
        <v>0</v>
      </c>
      <c r="J45" s="355"/>
      <c r="K45" s="366">
        <f t="shared" si="30"/>
        <v>0</v>
      </c>
    </row>
    <row r="46" spans="1:11" s="288" customFormat="1" ht="24.95" customHeight="1" thickTop="1" thickBot="1">
      <c r="A46" s="384"/>
      <c r="B46" s="383"/>
      <c r="C46" s="382" t="s">
        <v>179</v>
      </c>
      <c r="D46" s="381"/>
      <c r="E46" s="380"/>
      <c r="F46" s="379"/>
      <c r="G46" s="378">
        <f>SUM(G44:G45)</f>
        <v>0</v>
      </c>
      <c r="H46" s="380"/>
      <c r="I46" s="378">
        <f>SUM(I44:I45)</f>
        <v>0</v>
      </c>
      <c r="J46" s="380"/>
      <c r="K46" s="378">
        <f>SUM(K44:K45)</f>
        <v>0</v>
      </c>
    </row>
    <row r="47" spans="1:11" s="288" customFormat="1" ht="35.1" customHeight="1" thickTop="1" thickBot="1">
      <c r="A47" s="567" t="s">
        <v>198</v>
      </c>
      <c r="B47" s="568"/>
      <c r="C47" s="568"/>
      <c r="D47" s="568"/>
      <c r="E47" s="568"/>
      <c r="F47" s="568"/>
      <c r="G47" s="464">
        <f>G46+G42+G37+G31+G28+G24+G19+G16+G11</f>
        <v>0</v>
      </c>
      <c r="H47" s="394" t="s">
        <v>168</v>
      </c>
      <c r="I47" s="395" t="e">
        <f>I46+#REF!+I42+#REF!+I28+I24+#REF!+I16+I11</f>
        <v>#REF!</v>
      </c>
      <c r="J47" s="394" t="s">
        <v>168</v>
      </c>
      <c r="K47" s="395" t="e">
        <f>K46+#REF!+K42+#REF!+K28+K24+#REF!+K16+K11</f>
        <v>#REF!</v>
      </c>
    </row>
    <row r="48" spans="1:11" s="288" customFormat="1" ht="35.1" customHeight="1" thickTop="1" thickBot="1">
      <c r="A48" s="555" t="s">
        <v>197</v>
      </c>
      <c r="B48" s="556"/>
      <c r="C48" s="556"/>
      <c r="D48" s="556"/>
      <c r="E48" s="556"/>
      <c r="F48" s="556"/>
      <c r="G48" s="459">
        <f>(G47*0.23)</f>
        <v>0</v>
      </c>
      <c r="H48" s="422"/>
      <c r="I48" s="423"/>
      <c r="J48" s="422"/>
      <c r="K48" s="423"/>
    </row>
    <row r="49" spans="1:11" s="288" customFormat="1" ht="35.1" customHeight="1" thickTop="1" thickBot="1">
      <c r="A49" s="557" t="s">
        <v>196</v>
      </c>
      <c r="B49" s="558"/>
      <c r="C49" s="558"/>
      <c r="D49" s="558"/>
      <c r="E49" s="558"/>
      <c r="F49" s="558"/>
      <c r="G49" s="460">
        <f>SUM(G47:G48)</f>
        <v>0</v>
      </c>
      <c r="H49" s="422"/>
      <c r="I49" s="423"/>
      <c r="J49" s="422"/>
      <c r="K49" s="423"/>
    </row>
    <row r="50" spans="1:11" s="288" customFormat="1" ht="11.25" customHeight="1" thickTop="1" thickBot="1">
      <c r="A50" s="396"/>
      <c r="B50" s="396"/>
      <c r="C50" s="397"/>
      <c r="D50" s="396"/>
      <c r="E50" s="398"/>
      <c r="F50" s="399"/>
      <c r="G50" s="400"/>
      <c r="H50" s="422"/>
      <c r="I50" s="423"/>
      <c r="J50" s="422"/>
      <c r="K50" s="423"/>
    </row>
    <row r="51" spans="1:11" s="40" customFormat="1" ht="13.5" thickTop="1">
      <c r="A51" s="129"/>
      <c r="B51" s="114" t="s">
        <v>9</v>
      </c>
      <c r="C51" s="310"/>
      <c r="D51" s="129"/>
      <c r="E51" s="308"/>
      <c r="F51" s="309"/>
      <c r="G51" s="308"/>
      <c r="H51" s="308"/>
      <c r="I51" s="308"/>
      <c r="J51" s="308"/>
      <c r="K51" s="308"/>
    </row>
    <row r="52" spans="1:11" s="40" customFormat="1">
      <c r="A52" s="129"/>
      <c r="B52" s="114"/>
      <c r="C52" s="310"/>
      <c r="D52" s="129"/>
      <c r="E52" s="308"/>
      <c r="F52" s="309"/>
      <c r="G52" s="308"/>
      <c r="H52" s="308"/>
      <c r="I52" s="308"/>
      <c r="J52" s="308"/>
      <c r="K52" s="308"/>
    </row>
    <row r="53" spans="1:11" s="40" customFormat="1">
      <c r="A53" s="129"/>
      <c r="B53" s="114"/>
      <c r="C53" s="310"/>
      <c r="D53" s="129"/>
      <c r="E53" s="308"/>
      <c r="F53" s="309"/>
      <c r="G53" s="308"/>
      <c r="H53" s="308"/>
      <c r="I53" s="308"/>
      <c r="J53" s="308"/>
      <c r="K53" s="308"/>
    </row>
    <row r="54" spans="1:11">
      <c r="G54" s="307"/>
      <c r="I54" s="307"/>
      <c r="K54" s="307"/>
    </row>
    <row r="55" spans="1:11">
      <c r="D55" s="126"/>
      <c r="E55" s="41" t="s">
        <v>10</v>
      </c>
      <c r="G55" s="307"/>
      <c r="H55" s="41"/>
      <c r="I55" s="307"/>
      <c r="J55" s="41"/>
      <c r="K55" s="307"/>
    </row>
    <row r="56" spans="1:11" ht="70.5" customHeight="1">
      <c r="D56" s="419"/>
      <c r="E56" s="420"/>
      <c r="F56" s="421"/>
      <c r="G56" s="124"/>
      <c r="H56" s="124"/>
      <c r="I56" s="124"/>
      <c r="J56" s="124"/>
      <c r="K56" s="124"/>
    </row>
    <row r="57" spans="1:11">
      <c r="D57" s="126"/>
      <c r="E57" s="418"/>
      <c r="F57" s="307"/>
      <c r="G57" s="124"/>
      <c r="H57" s="418"/>
      <c r="I57" s="124"/>
      <c r="J57" s="418"/>
      <c r="K57" s="124"/>
    </row>
    <row r="58" spans="1:11">
      <c r="F58" s="307"/>
      <c r="G58" s="319"/>
      <c r="H58" s="319"/>
      <c r="I58" s="319"/>
      <c r="J58" s="319"/>
      <c r="K58" s="319"/>
    </row>
    <row r="59" spans="1:11">
      <c r="F59" s="307"/>
      <c r="G59" s="319"/>
      <c r="H59" s="319"/>
      <c r="I59" s="319"/>
      <c r="J59" s="319"/>
      <c r="K59" s="319"/>
    </row>
    <row r="60" spans="1:11">
      <c r="F60" s="307"/>
      <c r="G60" s="319"/>
      <c r="I60" s="319"/>
      <c r="K60" s="319"/>
    </row>
    <row r="61" spans="1:11">
      <c r="F61" s="307"/>
      <c r="G61" s="319"/>
      <c r="I61" s="319"/>
      <c r="K61" s="319"/>
    </row>
  </sheetData>
  <mergeCells count="11">
    <mergeCell ref="A1:G1"/>
    <mergeCell ref="A2:G2"/>
    <mergeCell ref="E4:G4"/>
    <mergeCell ref="H4:I4"/>
    <mergeCell ref="A47:F47"/>
    <mergeCell ref="A48:F48"/>
    <mergeCell ref="A49:F49"/>
    <mergeCell ref="A3:G3"/>
    <mergeCell ref="J4:K4"/>
    <mergeCell ref="H3:I3"/>
    <mergeCell ref="J3:K3"/>
  </mergeCells>
  <phoneticPr fontId="76" type="noConversion"/>
  <pageMargins left="0.55118110236220474" right="0.19685039370078741" top="0.59055118110236227" bottom="0.70866141732283472" header="0.31496062992125984" footer="0.31496062992125984"/>
  <pageSetup paperSize="9" scale="80" orientation="portrait" horizontalDpi="4294967293" r:id="rId1"/>
  <headerFooter>
    <oddFooter>Strona &amp;P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CB79F-BFB3-46AE-B1AC-C87D39729291}">
  <dimension ref="A1:O44"/>
  <sheetViews>
    <sheetView showZeros="0" topLeftCell="A23" zoomScaleNormal="100" zoomScaleSheetLayoutView="130" workbookViewId="0">
      <selection activeCell="C44" sqref="C44"/>
    </sheetView>
  </sheetViews>
  <sheetFormatPr defaultRowHeight="12.75"/>
  <cols>
    <col min="1" max="1" width="4.7109375" style="305" customWidth="1"/>
    <col min="2" max="2" width="14.42578125" style="305" customWidth="1"/>
    <col min="3" max="3" width="57.85546875" style="306" customWidth="1"/>
    <col min="4" max="4" width="9.42578125" style="305" customWidth="1"/>
    <col min="5" max="5" width="9.7109375" style="304" customWidth="1"/>
    <col min="6" max="6" width="10.5703125" style="304" customWidth="1"/>
    <col min="7" max="7" width="14.28515625" style="303" customWidth="1"/>
    <col min="8" max="8" width="9.7109375" style="304" hidden="1" customWidth="1"/>
    <col min="9" max="9" width="15.7109375" style="303" hidden="1" customWidth="1"/>
    <col min="10" max="10" width="9.7109375" style="304" hidden="1" customWidth="1"/>
    <col min="11" max="11" width="15.7109375" style="303" hidden="1" customWidth="1"/>
    <col min="12" max="12" width="0" style="126" hidden="1" customWidth="1"/>
    <col min="13" max="16384" width="9.140625" style="126"/>
  </cols>
  <sheetData>
    <row r="1" spans="1:11" ht="25.5" customHeight="1">
      <c r="A1" s="564" t="s">
        <v>385</v>
      </c>
      <c r="B1" s="564"/>
      <c r="C1" s="564"/>
      <c r="D1" s="564"/>
      <c r="E1" s="564"/>
      <c r="F1" s="564"/>
      <c r="G1" s="564"/>
      <c r="H1" s="392"/>
      <c r="I1" s="392"/>
      <c r="J1" s="392"/>
      <c r="K1" s="392"/>
    </row>
    <row r="2" spans="1:11" ht="54.95" customHeight="1">
      <c r="A2" s="565" t="s">
        <v>222</v>
      </c>
      <c r="B2" s="565"/>
      <c r="C2" s="565"/>
      <c r="D2" s="565"/>
      <c r="E2" s="565"/>
      <c r="F2" s="565"/>
      <c r="G2" s="565"/>
      <c r="H2" s="374"/>
      <c r="I2" s="374"/>
      <c r="J2" s="374"/>
      <c r="K2" s="374"/>
    </row>
    <row r="3" spans="1:11" ht="24.95" customHeight="1" thickBot="1">
      <c r="A3" s="559" t="s">
        <v>192</v>
      </c>
      <c r="B3" s="559"/>
      <c r="C3" s="559"/>
      <c r="D3" s="559"/>
      <c r="E3" s="560"/>
      <c r="F3" s="560"/>
      <c r="G3" s="560"/>
      <c r="H3" s="560" t="s">
        <v>186</v>
      </c>
      <c r="I3" s="560"/>
      <c r="J3" s="563" t="s">
        <v>187</v>
      </c>
      <c r="K3" s="563"/>
    </row>
    <row r="4" spans="1:11" ht="45" hidden="1" customHeight="1" thickBot="1">
      <c r="A4" s="393"/>
      <c r="B4" s="393"/>
      <c r="C4" s="393"/>
      <c r="D4" s="393"/>
      <c r="E4" s="561" t="s">
        <v>170</v>
      </c>
      <c r="F4" s="566"/>
      <c r="G4" s="562"/>
      <c r="H4" s="561" t="s">
        <v>170</v>
      </c>
      <c r="I4" s="562"/>
      <c r="J4" s="561" t="s">
        <v>170</v>
      </c>
      <c r="K4" s="562"/>
    </row>
    <row r="5" spans="1:11" ht="39.950000000000003" customHeight="1" thickTop="1">
      <c r="A5" s="320" t="s">
        <v>1</v>
      </c>
      <c r="B5" s="105" t="s">
        <v>169</v>
      </c>
      <c r="C5" s="321" t="s">
        <v>3</v>
      </c>
      <c r="D5" s="105" t="s">
        <v>17</v>
      </c>
      <c r="E5" s="322" t="s">
        <v>16</v>
      </c>
      <c r="F5" s="323" t="s">
        <v>24</v>
      </c>
      <c r="G5" s="324" t="s">
        <v>30</v>
      </c>
      <c r="H5" s="322" t="s">
        <v>16</v>
      </c>
      <c r="I5" s="324" t="s">
        <v>30</v>
      </c>
      <c r="J5" s="322" t="s">
        <v>16</v>
      </c>
      <c r="K5" s="324" t="s">
        <v>30</v>
      </c>
    </row>
    <row r="6" spans="1:11" s="329" customFormat="1" ht="20.100000000000001" customHeight="1" thickBot="1">
      <c r="A6" s="325">
        <v>1</v>
      </c>
      <c r="B6" s="326">
        <v>2</v>
      </c>
      <c r="C6" s="327">
        <v>3</v>
      </c>
      <c r="D6" s="327">
        <v>4</v>
      </c>
      <c r="E6" s="327">
        <v>5</v>
      </c>
      <c r="F6" s="327">
        <v>6</v>
      </c>
      <c r="G6" s="328">
        <v>7</v>
      </c>
      <c r="H6" s="327">
        <v>8</v>
      </c>
      <c r="I6" s="328">
        <v>9</v>
      </c>
      <c r="J6" s="327">
        <v>10</v>
      </c>
      <c r="K6" s="328">
        <v>11</v>
      </c>
    </row>
    <row r="7" spans="1:11" s="288" customFormat="1" ht="24.95" customHeight="1" thickTop="1" thickBot="1">
      <c r="A7" s="367" t="s">
        <v>188</v>
      </c>
      <c r="B7" s="390"/>
      <c r="C7" s="390" t="s">
        <v>189</v>
      </c>
      <c r="D7" s="390"/>
      <c r="E7" s="390"/>
      <c r="F7" s="390"/>
      <c r="G7" s="458"/>
      <c r="H7" s="368"/>
      <c r="I7" s="370"/>
      <c r="J7" s="368"/>
      <c r="K7" s="370"/>
    </row>
    <row r="8" spans="1:11" s="329" customFormat="1" ht="35.1" customHeight="1" thickTop="1">
      <c r="A8" s="401">
        <v>1</v>
      </c>
      <c r="B8" s="353" t="s">
        <v>224</v>
      </c>
      <c r="C8" s="402" t="s">
        <v>225</v>
      </c>
      <c r="D8" s="403" t="s">
        <v>226</v>
      </c>
      <c r="E8" s="414">
        <v>105.6</v>
      </c>
      <c r="F8" s="405"/>
      <c r="G8" s="461">
        <f>ROUND(E8*F8,2)</f>
        <v>0</v>
      </c>
      <c r="H8" s="414">
        <v>3.84</v>
      </c>
      <c r="I8" s="365">
        <f t="shared" ref="I8:I33" si="0">ROUND(H8*$F8,2)</f>
        <v>0</v>
      </c>
      <c r="J8" s="404"/>
      <c r="K8" s="365"/>
    </row>
    <row r="9" spans="1:11" s="329" customFormat="1" ht="35.1" customHeight="1">
      <c r="A9" s="356">
        <v>2</v>
      </c>
      <c r="B9" s="351" t="s">
        <v>227</v>
      </c>
      <c r="C9" s="357" t="s">
        <v>228</v>
      </c>
      <c r="D9" s="377" t="s">
        <v>226</v>
      </c>
      <c r="E9" s="415">
        <v>82.24</v>
      </c>
      <c r="F9" s="318"/>
      <c r="G9" s="462">
        <f t="shared" ref="G9:G33" si="1">ROUND(E9*F9,2)</f>
        <v>0</v>
      </c>
      <c r="H9" s="415">
        <v>2.88</v>
      </c>
      <c r="I9" s="366">
        <f t="shared" si="0"/>
        <v>0</v>
      </c>
      <c r="J9" s="371"/>
      <c r="K9" s="366"/>
    </row>
    <row r="10" spans="1:11" s="329" customFormat="1" ht="35.1" customHeight="1">
      <c r="A10" s="356">
        <v>3</v>
      </c>
      <c r="B10" s="351" t="s">
        <v>229</v>
      </c>
      <c r="C10" s="357" t="s">
        <v>230</v>
      </c>
      <c r="D10" s="358" t="s">
        <v>81</v>
      </c>
      <c r="E10" s="415">
        <v>584</v>
      </c>
      <c r="F10" s="318"/>
      <c r="G10" s="462">
        <f t="shared" si="1"/>
        <v>0</v>
      </c>
      <c r="H10" s="415">
        <v>6.24</v>
      </c>
      <c r="I10" s="366">
        <f t="shared" si="0"/>
        <v>0</v>
      </c>
      <c r="J10" s="38"/>
      <c r="K10" s="366"/>
    </row>
    <row r="11" spans="1:11" s="329" customFormat="1" ht="35.1" customHeight="1">
      <c r="A11" s="356">
        <v>4</v>
      </c>
      <c r="B11" s="351" t="s">
        <v>231</v>
      </c>
      <c r="C11" s="357" t="s">
        <v>232</v>
      </c>
      <c r="D11" s="358" t="s">
        <v>81</v>
      </c>
      <c r="E11" s="415">
        <v>11</v>
      </c>
      <c r="F11" s="318"/>
      <c r="G11" s="462">
        <f t="shared" si="1"/>
        <v>0</v>
      </c>
      <c r="H11" s="415">
        <v>5.76</v>
      </c>
      <c r="I11" s="366">
        <f t="shared" si="0"/>
        <v>0</v>
      </c>
      <c r="J11" s="38"/>
      <c r="K11" s="366"/>
    </row>
    <row r="12" spans="1:11" s="329" customFormat="1" ht="35.1" customHeight="1">
      <c r="A12" s="356">
        <v>5</v>
      </c>
      <c r="B12" s="351" t="s">
        <v>231</v>
      </c>
      <c r="C12" s="357" t="s">
        <v>233</v>
      </c>
      <c r="D12" s="358" t="s">
        <v>81</v>
      </c>
      <c r="E12" s="415">
        <v>65</v>
      </c>
      <c r="F12" s="318"/>
      <c r="G12" s="462">
        <f t="shared" si="1"/>
        <v>0</v>
      </c>
      <c r="H12" s="415">
        <v>24</v>
      </c>
      <c r="I12" s="366">
        <f t="shared" si="0"/>
        <v>0</v>
      </c>
      <c r="J12" s="38"/>
      <c r="K12" s="366"/>
    </row>
    <row r="13" spans="1:11" s="40" customFormat="1" ht="35.1" customHeight="1">
      <c r="A13" s="356">
        <v>6</v>
      </c>
      <c r="B13" s="351" t="s">
        <v>234</v>
      </c>
      <c r="C13" s="357" t="s">
        <v>235</v>
      </c>
      <c r="D13" s="358" t="s">
        <v>81</v>
      </c>
      <c r="E13" s="316">
        <v>76</v>
      </c>
      <c r="F13" s="318"/>
      <c r="G13" s="462">
        <f t="shared" si="1"/>
        <v>0</v>
      </c>
      <c r="H13" s="316">
        <v>8</v>
      </c>
      <c r="I13" s="366">
        <f t="shared" si="0"/>
        <v>0</v>
      </c>
      <c r="J13" s="351"/>
      <c r="K13" s="366"/>
    </row>
    <row r="14" spans="1:11" s="40" customFormat="1" ht="35.1" customHeight="1">
      <c r="A14" s="356">
        <v>7</v>
      </c>
      <c r="B14" s="351" t="s">
        <v>236</v>
      </c>
      <c r="C14" s="357" t="s">
        <v>237</v>
      </c>
      <c r="D14" s="358" t="s">
        <v>81</v>
      </c>
      <c r="E14" s="316">
        <v>254</v>
      </c>
      <c r="F14" s="318"/>
      <c r="G14" s="462">
        <f t="shared" si="1"/>
        <v>0</v>
      </c>
      <c r="H14" s="316">
        <v>15</v>
      </c>
      <c r="I14" s="366">
        <f t="shared" si="0"/>
        <v>0</v>
      </c>
      <c r="J14" s="351"/>
      <c r="K14" s="366"/>
    </row>
    <row r="15" spans="1:11" s="40" customFormat="1" ht="35.1" customHeight="1">
      <c r="A15" s="356">
        <v>8</v>
      </c>
      <c r="B15" s="351" t="s">
        <v>238</v>
      </c>
      <c r="C15" s="357" t="s">
        <v>239</v>
      </c>
      <c r="D15" s="358" t="s">
        <v>81</v>
      </c>
      <c r="E15" s="415">
        <v>32</v>
      </c>
      <c r="F15" s="318"/>
      <c r="G15" s="462">
        <f t="shared" si="1"/>
        <v>0</v>
      </c>
      <c r="H15" s="415">
        <v>2</v>
      </c>
      <c r="I15" s="366">
        <f t="shared" si="0"/>
        <v>0</v>
      </c>
      <c r="J15" s="38"/>
      <c r="K15" s="366"/>
    </row>
    <row r="16" spans="1:11" s="40" customFormat="1" ht="35.1" customHeight="1">
      <c r="A16" s="356">
        <v>9</v>
      </c>
      <c r="B16" s="351" t="s">
        <v>240</v>
      </c>
      <c r="C16" s="357" t="s">
        <v>241</v>
      </c>
      <c r="D16" s="358" t="s">
        <v>163</v>
      </c>
      <c r="E16" s="415">
        <v>16</v>
      </c>
      <c r="F16" s="318"/>
      <c r="G16" s="462">
        <f t="shared" si="1"/>
        <v>0</v>
      </c>
      <c r="H16" s="415">
        <v>4</v>
      </c>
      <c r="I16" s="366">
        <f t="shared" si="0"/>
        <v>0</v>
      </c>
      <c r="J16" s="38"/>
      <c r="K16" s="366"/>
    </row>
    <row r="17" spans="1:15" s="40" customFormat="1" ht="35.1" customHeight="1">
      <c r="A17" s="356">
        <v>10</v>
      </c>
      <c r="B17" s="351" t="s">
        <v>242</v>
      </c>
      <c r="C17" s="357" t="s">
        <v>243</v>
      </c>
      <c r="D17" s="358" t="s">
        <v>244</v>
      </c>
      <c r="E17" s="415">
        <v>64</v>
      </c>
      <c r="F17" s="318"/>
      <c r="G17" s="462">
        <f t="shared" si="1"/>
        <v>0</v>
      </c>
      <c r="H17" s="415">
        <v>1</v>
      </c>
      <c r="I17" s="366">
        <f t="shared" si="0"/>
        <v>0</v>
      </c>
      <c r="J17" s="38"/>
      <c r="K17" s="366"/>
    </row>
    <row r="18" spans="1:15" s="40" customFormat="1" ht="35.1" customHeight="1">
      <c r="A18" s="356">
        <v>11</v>
      </c>
      <c r="B18" s="351" t="s">
        <v>245</v>
      </c>
      <c r="C18" s="357" t="s">
        <v>246</v>
      </c>
      <c r="D18" s="358" t="s">
        <v>81</v>
      </c>
      <c r="E18" s="415">
        <v>16</v>
      </c>
      <c r="F18" s="318"/>
      <c r="G18" s="462">
        <f t="shared" si="1"/>
        <v>0</v>
      </c>
      <c r="H18" s="415">
        <v>2</v>
      </c>
      <c r="I18" s="366">
        <f t="shared" si="0"/>
        <v>0</v>
      </c>
      <c r="J18" s="38"/>
      <c r="K18" s="366"/>
    </row>
    <row r="19" spans="1:15" s="40" customFormat="1" ht="35.1" customHeight="1">
      <c r="A19" s="356">
        <v>12</v>
      </c>
      <c r="B19" s="351" t="s">
        <v>247</v>
      </c>
      <c r="C19" s="357" t="s">
        <v>248</v>
      </c>
      <c r="D19" s="358" t="s">
        <v>81</v>
      </c>
      <c r="E19" s="415">
        <v>20</v>
      </c>
      <c r="F19" s="318"/>
      <c r="G19" s="462">
        <f t="shared" si="1"/>
        <v>0</v>
      </c>
      <c r="H19" s="415"/>
      <c r="I19" s="366"/>
      <c r="J19" s="38"/>
      <c r="K19" s="366"/>
    </row>
    <row r="20" spans="1:15" s="40" customFormat="1" ht="35.1" customHeight="1">
      <c r="A20" s="356">
        <v>13</v>
      </c>
      <c r="B20" s="351" t="s">
        <v>249</v>
      </c>
      <c r="C20" s="357" t="s">
        <v>250</v>
      </c>
      <c r="D20" s="358" t="s">
        <v>163</v>
      </c>
      <c r="E20" s="415">
        <v>8</v>
      </c>
      <c r="F20" s="318"/>
      <c r="G20" s="462">
        <f t="shared" si="1"/>
        <v>0</v>
      </c>
      <c r="H20" s="415"/>
      <c r="I20" s="366"/>
      <c r="J20" s="38"/>
      <c r="K20" s="366"/>
    </row>
    <row r="21" spans="1:15" s="40" customFormat="1" ht="35.1" customHeight="1">
      <c r="A21" s="356">
        <v>14</v>
      </c>
      <c r="B21" s="351" t="s">
        <v>251</v>
      </c>
      <c r="C21" s="357" t="s">
        <v>252</v>
      </c>
      <c r="D21" s="358" t="s">
        <v>163</v>
      </c>
      <c r="E21" s="415">
        <v>8</v>
      </c>
      <c r="F21" s="318"/>
      <c r="G21" s="462">
        <f t="shared" si="1"/>
        <v>0</v>
      </c>
      <c r="H21" s="415"/>
      <c r="I21" s="366"/>
      <c r="J21" s="38"/>
      <c r="K21" s="366"/>
    </row>
    <row r="22" spans="1:15" s="40" customFormat="1" ht="35.1" customHeight="1">
      <c r="A22" s="356">
        <v>15</v>
      </c>
      <c r="B22" s="351" t="s">
        <v>253</v>
      </c>
      <c r="C22" s="357" t="s">
        <v>254</v>
      </c>
      <c r="D22" s="358" t="s">
        <v>255</v>
      </c>
      <c r="E22" s="415">
        <v>8</v>
      </c>
      <c r="F22" s="318"/>
      <c r="G22" s="462">
        <f t="shared" si="1"/>
        <v>0</v>
      </c>
      <c r="H22" s="415"/>
      <c r="I22" s="366"/>
      <c r="J22" s="38"/>
      <c r="K22" s="366"/>
    </row>
    <row r="23" spans="1:15" s="40" customFormat="1" ht="35.1" customHeight="1">
      <c r="A23" s="356">
        <v>16</v>
      </c>
      <c r="B23" s="351" t="s">
        <v>256</v>
      </c>
      <c r="C23" s="357" t="s">
        <v>257</v>
      </c>
      <c r="D23" s="358" t="s">
        <v>163</v>
      </c>
      <c r="E23" s="415">
        <v>8</v>
      </c>
      <c r="F23" s="318"/>
      <c r="G23" s="462">
        <f t="shared" si="1"/>
        <v>0</v>
      </c>
      <c r="H23" s="415"/>
      <c r="I23" s="366"/>
      <c r="J23" s="38"/>
      <c r="K23" s="366"/>
    </row>
    <row r="24" spans="1:15" s="40" customFormat="1" ht="35.1" customHeight="1">
      <c r="A24" s="356">
        <v>17</v>
      </c>
      <c r="B24" s="351" t="s">
        <v>258</v>
      </c>
      <c r="C24" s="357" t="s">
        <v>259</v>
      </c>
      <c r="D24" s="358" t="s">
        <v>33</v>
      </c>
      <c r="E24" s="415">
        <v>9</v>
      </c>
      <c r="F24" s="318"/>
      <c r="G24" s="462">
        <f t="shared" si="1"/>
        <v>0</v>
      </c>
      <c r="H24" s="415"/>
      <c r="I24" s="366"/>
      <c r="J24" s="38"/>
      <c r="K24" s="366"/>
    </row>
    <row r="25" spans="1:15" s="40" customFormat="1" ht="35.1" customHeight="1">
      <c r="A25" s="356">
        <v>18</v>
      </c>
      <c r="B25" s="351" t="s">
        <v>260</v>
      </c>
      <c r="C25" s="357" t="s">
        <v>261</v>
      </c>
      <c r="D25" s="358" t="s">
        <v>262</v>
      </c>
      <c r="E25" s="415">
        <v>9</v>
      </c>
      <c r="F25" s="318"/>
      <c r="G25" s="462">
        <f t="shared" si="1"/>
        <v>0</v>
      </c>
      <c r="H25" s="415"/>
      <c r="I25" s="366"/>
      <c r="J25" s="38"/>
      <c r="K25" s="366"/>
    </row>
    <row r="26" spans="1:15" s="40" customFormat="1" ht="35.1" customHeight="1">
      <c r="A26" s="356">
        <v>19</v>
      </c>
      <c r="B26" s="351" t="s">
        <v>263</v>
      </c>
      <c r="C26" s="357" t="s">
        <v>264</v>
      </c>
      <c r="D26" s="358" t="s">
        <v>33</v>
      </c>
      <c r="E26" s="415">
        <v>9</v>
      </c>
      <c r="F26" s="318"/>
      <c r="G26" s="462">
        <f t="shared" si="1"/>
        <v>0</v>
      </c>
      <c r="H26" s="415"/>
      <c r="I26" s="366"/>
      <c r="J26" s="38"/>
      <c r="K26" s="366"/>
    </row>
    <row r="27" spans="1:15" s="40" customFormat="1" ht="35.1" customHeight="1">
      <c r="A27" s="356">
        <v>20</v>
      </c>
      <c r="B27" s="351" t="s">
        <v>265</v>
      </c>
      <c r="C27" s="357" t="s">
        <v>266</v>
      </c>
      <c r="D27" s="358" t="s">
        <v>0</v>
      </c>
      <c r="E27" s="415">
        <v>0.74</v>
      </c>
      <c r="F27" s="318"/>
      <c r="G27" s="462">
        <f t="shared" si="1"/>
        <v>0</v>
      </c>
      <c r="H27" s="415"/>
      <c r="I27" s="366"/>
      <c r="J27" s="38"/>
      <c r="K27" s="366"/>
    </row>
    <row r="28" spans="1:15" s="40" customFormat="1" ht="35.1" customHeight="1">
      <c r="A28" s="356">
        <v>21</v>
      </c>
      <c r="B28" s="351" t="s">
        <v>267</v>
      </c>
      <c r="C28" s="357" t="s">
        <v>268</v>
      </c>
      <c r="D28" s="358" t="s">
        <v>33</v>
      </c>
      <c r="E28" s="415">
        <v>1</v>
      </c>
      <c r="F28" s="318"/>
      <c r="G28" s="462">
        <f t="shared" si="1"/>
        <v>0</v>
      </c>
      <c r="H28" s="415"/>
      <c r="I28" s="366"/>
      <c r="J28" s="38"/>
      <c r="K28" s="366"/>
    </row>
    <row r="29" spans="1:15" s="40" customFormat="1" ht="35.1" customHeight="1">
      <c r="A29" s="356">
        <v>22</v>
      </c>
      <c r="B29" s="351" t="s">
        <v>269</v>
      </c>
      <c r="C29" s="357" t="s">
        <v>270</v>
      </c>
      <c r="D29" s="358" t="s">
        <v>271</v>
      </c>
      <c r="E29" s="415">
        <v>8</v>
      </c>
      <c r="F29" s="318"/>
      <c r="G29" s="462">
        <f t="shared" si="1"/>
        <v>0</v>
      </c>
      <c r="H29" s="415"/>
      <c r="I29" s="366"/>
      <c r="J29" s="38"/>
      <c r="K29" s="366"/>
    </row>
    <row r="30" spans="1:15" s="40" customFormat="1" ht="45" customHeight="1">
      <c r="A30" s="356">
        <v>23</v>
      </c>
      <c r="B30" s="351" t="s">
        <v>272</v>
      </c>
      <c r="C30" s="357" t="s">
        <v>273</v>
      </c>
      <c r="D30" s="358" t="s">
        <v>274</v>
      </c>
      <c r="E30" s="415">
        <v>1</v>
      </c>
      <c r="F30" s="318"/>
      <c r="G30" s="462">
        <f t="shared" si="1"/>
        <v>0</v>
      </c>
      <c r="H30" s="415"/>
      <c r="I30" s="366"/>
      <c r="J30" s="38"/>
      <c r="K30" s="366"/>
    </row>
    <row r="31" spans="1:15" s="294" customFormat="1" ht="35.1" customHeight="1">
      <c r="A31" s="356">
        <v>24</v>
      </c>
      <c r="B31" s="406" t="s">
        <v>275</v>
      </c>
      <c r="C31" s="407" t="s">
        <v>276</v>
      </c>
      <c r="D31" s="377" t="s">
        <v>274</v>
      </c>
      <c r="E31" s="416">
        <v>7</v>
      </c>
      <c r="F31" s="409"/>
      <c r="G31" s="462">
        <f t="shared" si="1"/>
        <v>0</v>
      </c>
      <c r="H31" s="416">
        <v>20</v>
      </c>
      <c r="I31" s="366">
        <f t="shared" si="0"/>
        <v>0</v>
      </c>
      <c r="J31" s="408"/>
      <c r="K31" s="366"/>
      <c r="L31" s="359"/>
      <c r="M31" s="359"/>
      <c r="N31" s="360"/>
      <c r="O31" s="360"/>
    </row>
    <row r="32" spans="1:15" s="294" customFormat="1" ht="35.1" customHeight="1">
      <c r="A32" s="356">
        <v>25</v>
      </c>
      <c r="B32" s="410" t="s">
        <v>277</v>
      </c>
      <c r="C32" s="411" t="s">
        <v>278</v>
      </c>
      <c r="D32" s="377" t="s">
        <v>279</v>
      </c>
      <c r="E32" s="416">
        <v>8</v>
      </c>
      <c r="F32" s="412"/>
      <c r="G32" s="462">
        <f t="shared" si="1"/>
        <v>0</v>
      </c>
      <c r="H32" s="416">
        <v>7</v>
      </c>
      <c r="I32" s="366">
        <f t="shared" si="0"/>
        <v>0</v>
      </c>
      <c r="J32" s="408"/>
      <c r="K32" s="366"/>
      <c r="L32" s="361"/>
      <c r="M32" s="361"/>
      <c r="N32" s="360"/>
      <c r="O32" s="360"/>
    </row>
    <row r="33" spans="1:15" s="294" customFormat="1" ht="35.1" customHeight="1" thickBot="1">
      <c r="A33" s="467">
        <v>26</v>
      </c>
      <c r="B33" s="468" t="s">
        <v>280</v>
      </c>
      <c r="C33" s="469" t="s">
        <v>281</v>
      </c>
      <c r="D33" s="470" t="s">
        <v>0</v>
      </c>
      <c r="E33" s="471">
        <v>0.33</v>
      </c>
      <c r="F33" s="472"/>
      <c r="G33" s="473">
        <f t="shared" si="1"/>
        <v>0</v>
      </c>
      <c r="H33" s="466">
        <v>15</v>
      </c>
      <c r="I33" s="366">
        <f t="shared" si="0"/>
        <v>0</v>
      </c>
      <c r="J33" s="413"/>
      <c r="K33" s="366"/>
      <c r="L33" s="361"/>
      <c r="M33" s="361"/>
      <c r="N33" s="360"/>
      <c r="O33" s="360"/>
    </row>
    <row r="34" spans="1:15" s="288" customFormat="1" ht="30" customHeight="1" thickTop="1" thickBot="1">
      <c r="A34" s="569" t="s">
        <v>198</v>
      </c>
      <c r="B34" s="570"/>
      <c r="C34" s="570"/>
      <c r="D34" s="570"/>
      <c r="E34" s="570"/>
      <c r="F34" s="570"/>
      <c r="G34" s="474">
        <f>SUM(G8:G33)</f>
        <v>0</v>
      </c>
      <c r="H34" s="394"/>
      <c r="I34" s="395"/>
      <c r="J34" s="394"/>
      <c r="K34" s="395"/>
    </row>
    <row r="35" spans="1:15" s="288" customFormat="1" ht="30" customHeight="1" thickTop="1" thickBot="1">
      <c r="A35" s="555" t="s">
        <v>197</v>
      </c>
      <c r="B35" s="556"/>
      <c r="C35" s="556"/>
      <c r="D35" s="556"/>
      <c r="E35" s="556"/>
      <c r="F35" s="556"/>
      <c r="G35" s="459">
        <f>(G34*0.23)</f>
        <v>0</v>
      </c>
      <c r="H35" s="394"/>
      <c r="I35" s="395"/>
      <c r="J35" s="394"/>
      <c r="K35" s="395"/>
    </row>
    <row r="36" spans="1:15" s="288" customFormat="1" ht="30" customHeight="1" thickTop="1" thickBot="1">
      <c r="A36" s="557" t="s">
        <v>196</v>
      </c>
      <c r="B36" s="558"/>
      <c r="C36" s="558"/>
      <c r="D36" s="558"/>
      <c r="E36" s="558"/>
      <c r="F36" s="558"/>
      <c r="G36" s="460">
        <f>SUM(G34:G35)</f>
        <v>0</v>
      </c>
      <c r="H36" s="394" t="s">
        <v>168</v>
      </c>
      <c r="I36" s="395" t="e">
        <f>#REF!+#REF!+#REF!+#REF!+#REF!+#REF!+#REF!+#REF!+#REF!</f>
        <v>#REF!</v>
      </c>
      <c r="J36" s="394" t="s">
        <v>168</v>
      </c>
      <c r="K36" s="395" t="e">
        <f>#REF!+#REF!+#REF!+#REF!+#REF!+#REF!+#REF!+#REF!+#REF!</f>
        <v>#REF!</v>
      </c>
    </row>
    <row r="37" spans="1:15" s="391" customFormat="1" ht="13.5" thickTop="1"/>
    <row r="38" spans="1:15" s="40" customFormat="1">
      <c r="A38" s="129"/>
      <c r="B38" s="114" t="s">
        <v>9</v>
      </c>
      <c r="C38" s="310"/>
      <c r="D38" s="129"/>
      <c r="E38" s="308"/>
      <c r="F38" s="309"/>
      <c r="G38" s="308"/>
      <c r="H38" s="308"/>
      <c r="I38" s="308"/>
      <c r="J38" s="308"/>
      <c r="K38" s="308"/>
    </row>
    <row r="39" spans="1:15" s="40" customFormat="1">
      <c r="A39" s="129"/>
      <c r="B39" s="114"/>
      <c r="C39" s="310"/>
      <c r="D39" s="129"/>
      <c r="E39" s="308"/>
      <c r="F39" s="309"/>
      <c r="G39" s="308"/>
      <c r="H39" s="308"/>
      <c r="I39" s="308"/>
      <c r="J39" s="308"/>
      <c r="K39" s="308"/>
    </row>
    <row r="40" spans="1:15" s="40" customFormat="1">
      <c r="A40" s="129"/>
      <c r="B40" s="463"/>
      <c r="C40" s="310"/>
      <c r="D40" s="129"/>
      <c r="E40" s="308"/>
      <c r="F40" s="309"/>
      <c r="G40" s="308"/>
      <c r="H40" s="308"/>
      <c r="I40" s="308"/>
      <c r="J40" s="308"/>
      <c r="K40" s="308"/>
    </row>
    <row r="41" spans="1:15">
      <c r="G41" s="307"/>
      <c r="I41" s="307"/>
      <c r="K41" s="307"/>
    </row>
    <row r="42" spans="1:15">
      <c r="D42" s="126"/>
      <c r="E42" s="41" t="s">
        <v>10</v>
      </c>
      <c r="G42" s="307"/>
      <c r="H42" s="41"/>
      <c r="I42" s="307"/>
      <c r="J42" s="41"/>
      <c r="K42" s="307"/>
    </row>
    <row r="43" spans="1:15" ht="80.25" customHeight="1">
      <c r="D43" s="419"/>
      <c r="E43" s="420"/>
      <c r="F43" s="421"/>
      <c r="G43" s="124"/>
      <c r="H43" s="124"/>
      <c r="I43" s="124"/>
      <c r="J43" s="124"/>
      <c r="K43" s="124"/>
    </row>
    <row r="44" spans="1:15">
      <c r="D44" s="126"/>
      <c r="E44" s="418"/>
      <c r="F44" s="307"/>
      <c r="G44" s="124"/>
      <c r="H44" s="418"/>
      <c r="I44" s="124"/>
      <c r="J44" s="418"/>
      <c r="K44" s="124"/>
    </row>
  </sheetData>
  <mergeCells count="11">
    <mergeCell ref="A1:G1"/>
    <mergeCell ref="A2:G2"/>
    <mergeCell ref="A3:G3"/>
    <mergeCell ref="A34:F34"/>
    <mergeCell ref="A35:F35"/>
    <mergeCell ref="A36:F36"/>
    <mergeCell ref="H3:I3"/>
    <mergeCell ref="J3:K3"/>
    <mergeCell ref="E4:G4"/>
    <mergeCell ref="H4:I4"/>
    <mergeCell ref="J4:K4"/>
  </mergeCells>
  <pageMargins left="0.55118110236220474" right="0.19685039370078741" top="0.51181102362204722" bottom="0.43307086614173229" header="0.31496062992125984" footer="0.31496062992125984"/>
  <pageSetup paperSize="9" scale="8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13</vt:i4>
      </vt:variant>
    </vt:vector>
  </HeadingPairs>
  <TitlesOfParts>
    <vt:vector size="23" baseType="lpstr">
      <vt:lpstr>ZZK</vt:lpstr>
      <vt:lpstr>KI</vt:lpstr>
      <vt:lpstr>Przedmiar</vt:lpstr>
      <vt:lpstr>ZZK 2</vt:lpstr>
      <vt:lpstr>KI 2</vt:lpstr>
      <vt:lpstr>Przedmiar 2</vt:lpstr>
      <vt:lpstr>ZBIORCZA</vt:lpstr>
      <vt:lpstr>DROGI</vt:lpstr>
      <vt:lpstr>ELEKTRYCZNA</vt:lpstr>
      <vt:lpstr>KANALIZACJA</vt:lpstr>
      <vt:lpstr>DROGI!Obszar_wydruku</vt:lpstr>
      <vt:lpstr>ELEKTRYCZNA!Obszar_wydruku</vt:lpstr>
      <vt:lpstr>KANALIZACJA!Obszar_wydruku</vt:lpstr>
      <vt:lpstr>KI!Obszar_wydruku</vt:lpstr>
      <vt:lpstr>'KI 2'!Obszar_wydruku</vt:lpstr>
      <vt:lpstr>Przedmiar!Obszar_wydruku</vt:lpstr>
      <vt:lpstr>'Przedmiar 2'!Obszar_wydruku</vt:lpstr>
      <vt:lpstr>ZBIORCZA!Obszar_wydruku</vt:lpstr>
      <vt:lpstr>ZZK!Obszar_wydruku</vt:lpstr>
      <vt:lpstr>'ZZK 2'!Obszar_wydruku</vt:lpstr>
      <vt:lpstr>DROGI!Tytuły_wydruku</vt:lpstr>
      <vt:lpstr>ELEKTRYCZNA!Tytuły_wydruku</vt:lpstr>
      <vt:lpstr>KANALIZACJA!Tytuły_wydruku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Paweł Kattner</cp:lastModifiedBy>
  <cp:lastPrinted>2024-09-14T09:19:19Z</cp:lastPrinted>
  <dcterms:created xsi:type="dcterms:W3CDTF">2004-04-13T06:47:34Z</dcterms:created>
  <dcterms:modified xsi:type="dcterms:W3CDTF">2024-09-14T09:19:58Z</dcterms:modified>
</cp:coreProperties>
</file>