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MZD - 2024\ZADANIA TEMATYCZNE\BO-Studzienna\Ogrody CD\Kosztorys\"/>
    </mc:Choice>
  </mc:AlternateContent>
  <xr:revisionPtr revIDLastSave="0" documentId="13_ncr:1_{C867652B-DAE8-4409-889C-8B4166B99783}" xr6:coauthVersionLast="47" xr6:coauthVersionMax="47" xr10:uidLastSave="{00000000-0000-0000-0000-000000000000}"/>
  <bookViews>
    <workbookView xWindow="-120" yWindow="-120" windowWidth="29040" windowHeight="15840" tabRatio="791" xr2:uid="{89282957-3037-4A98-8F50-E36767E4B78D}"/>
  </bookViews>
  <sheets>
    <sheet name="Strona tyt." sheetId="50" r:id="rId1"/>
    <sheet name="Część 1" sheetId="24" r:id="rId2"/>
    <sheet name="Część 2" sheetId="57" r:id="rId3"/>
    <sheet name="Część 3" sheetId="56" r:id="rId4"/>
  </sheets>
  <definedNames>
    <definedName name="dane">#REF!</definedName>
    <definedName name="Excel_BuiltIn_Print_Area_1">#REF!</definedName>
    <definedName name="kan">#REF!</definedName>
    <definedName name="kurs">4.2735</definedName>
    <definedName name="_xlnm.Print_Area" localSheetId="1">'Część 1'!$B$1:$H$100</definedName>
    <definedName name="_xlnm.Print_Area" localSheetId="2">'Część 2'!$B$1:$H$57</definedName>
    <definedName name="_xlnm.Print_Area" localSheetId="3">'Część 3'!$B$1:$H$66</definedName>
    <definedName name="_xlnm.Print_Area" localSheetId="0">'Strona tyt.'!$A$1:$D$32</definedName>
    <definedName name="_xlnm.Print_Titles" localSheetId="1">'Część 1'!$4:$6</definedName>
    <definedName name="_xlnm.Print_Titles" localSheetId="2">'Część 2'!$4:$6</definedName>
    <definedName name="_xlnm.Print_Titles" localSheetId="3">'Część 3'!$4:$6</definedName>
  </definedNames>
  <calcPr calcId="181029"/>
</workbook>
</file>

<file path=xl/calcChain.xml><?xml version="1.0" encoding="utf-8"?>
<calcChain xmlns="http://schemas.openxmlformats.org/spreadsheetml/2006/main">
  <c r="F91" i="24" l="1"/>
  <c r="F89" i="24"/>
  <c r="H89" i="24" s="1"/>
  <c r="F59" i="24"/>
  <c r="F57" i="56"/>
  <c r="F25" i="56"/>
  <c r="F27" i="56"/>
  <c r="H27" i="56" s="1"/>
  <c r="F21" i="56"/>
  <c r="H21" i="56" s="1"/>
  <c r="F24" i="57"/>
  <c r="H24" i="57" s="1"/>
  <c r="F52" i="57"/>
  <c r="H52" i="57"/>
  <c r="F50" i="57"/>
  <c r="H50" i="57"/>
  <c r="F49" i="57"/>
  <c r="H49" i="57"/>
  <c r="F47" i="57"/>
  <c r="H47" i="57"/>
  <c r="H53" i="57" s="1"/>
  <c r="F43" i="57"/>
  <c r="H43" i="57"/>
  <c r="F42" i="57"/>
  <c r="H42" i="57"/>
  <c r="H44" i="57" s="1"/>
  <c r="F22" i="57"/>
  <c r="H22" i="57"/>
  <c r="F21" i="57"/>
  <c r="H21" i="57"/>
  <c r="F20" i="57"/>
  <c r="H20" i="57"/>
  <c r="F95" i="24"/>
  <c r="H95" i="24"/>
  <c r="H96" i="24" s="1"/>
  <c r="H86" i="24"/>
  <c r="F85" i="24"/>
  <c r="H85" i="24"/>
  <c r="F82" i="24"/>
  <c r="H82" i="24"/>
  <c r="F49" i="24"/>
  <c r="F46" i="24"/>
  <c r="F44" i="24"/>
  <c r="H31" i="24"/>
  <c r="F22" i="24"/>
  <c r="H22" i="24" s="1"/>
  <c r="F21" i="24"/>
  <c r="H21" i="24" s="1"/>
  <c r="F20" i="24"/>
  <c r="H20" i="24" s="1"/>
  <c r="H44" i="56"/>
  <c r="F46" i="56"/>
  <c r="H46" i="56"/>
  <c r="H50" i="56"/>
  <c r="H48" i="56"/>
  <c r="H45" i="56"/>
  <c r="F78" i="24"/>
  <c r="H78" i="24" s="1"/>
  <c r="F75" i="24"/>
  <c r="H75" i="24" s="1"/>
  <c r="F39" i="56"/>
  <c r="F31" i="56" s="1"/>
  <c r="F72" i="24"/>
  <c r="H72" i="24"/>
  <c r="H46" i="24"/>
  <c r="H48" i="57"/>
  <c r="H44" i="24"/>
  <c r="F19" i="24"/>
  <c r="F26" i="24"/>
  <c r="H26" i="24" s="1"/>
  <c r="H19" i="24"/>
  <c r="H55" i="24"/>
  <c r="H27" i="24"/>
  <c r="F61" i="56"/>
  <c r="H61" i="56"/>
  <c r="H62" i="56" s="1"/>
  <c r="H57" i="56"/>
  <c r="F55" i="56"/>
  <c r="H55" i="56"/>
  <c r="F54" i="56"/>
  <c r="H54" i="56"/>
  <c r="H58" i="56" s="1"/>
  <c r="H40" i="56"/>
  <c r="H25" i="56"/>
  <c r="B1" i="56"/>
  <c r="H69" i="24"/>
  <c r="H70" i="24"/>
  <c r="H71" i="24"/>
  <c r="H77" i="24"/>
  <c r="H74" i="24"/>
  <c r="F17" i="57"/>
  <c r="H17" i="57"/>
  <c r="B1" i="57"/>
  <c r="H26" i="57"/>
  <c r="B17" i="57"/>
  <c r="B19" i="57"/>
  <c r="B20" i="57" s="1"/>
  <c r="B21" i="57" s="1"/>
  <c r="B22" i="57" s="1"/>
  <c r="B23" i="57" s="1"/>
  <c r="B24" i="57" s="1"/>
  <c r="B26" i="57" s="1"/>
  <c r="B30" i="57" s="1"/>
  <c r="B31" i="57" s="1"/>
  <c r="B32" i="57" s="1"/>
  <c r="B36" i="57" s="1"/>
  <c r="B38" i="57" s="1"/>
  <c r="B42" i="57" s="1"/>
  <c r="B43" i="57" s="1"/>
  <c r="B47" i="57" s="1"/>
  <c r="B48" i="57" s="1"/>
  <c r="B49" i="57" s="1"/>
  <c r="H8" i="57"/>
  <c r="H14" i="57" s="1"/>
  <c r="H45" i="24"/>
  <c r="H32" i="24"/>
  <c r="H33" i="24"/>
  <c r="H30" i="24"/>
  <c r="F87" i="24"/>
  <c r="H87" i="24"/>
  <c r="H83" i="24"/>
  <c r="H84" i="24"/>
  <c r="H28" i="24"/>
  <c r="F17" i="24"/>
  <c r="H17" i="24" s="1"/>
  <c r="B1" i="24"/>
  <c r="H20" i="56"/>
  <c r="H22" i="56" s="1"/>
  <c r="H17" i="56"/>
  <c r="B17" i="56"/>
  <c r="B19" i="56"/>
  <c r="B20" i="56" s="1"/>
  <c r="B21" i="56"/>
  <c r="B25" i="56" s="1"/>
  <c r="B26" i="56" s="1"/>
  <c r="B27" i="56" s="1"/>
  <c r="B31" i="56" s="1"/>
  <c r="B33" i="56" s="1"/>
  <c r="B35" i="56" s="1"/>
  <c r="B39" i="56" s="1"/>
  <c r="B40" i="56" s="1"/>
  <c r="B44" i="56" s="1"/>
  <c r="B45" i="56" s="1"/>
  <c r="B46" i="56" s="1"/>
  <c r="B48" i="56" s="1"/>
  <c r="B50" i="56" s="1"/>
  <c r="B54" i="56" s="1"/>
  <c r="B55" i="56" s="1"/>
  <c r="B57" i="56" s="1"/>
  <c r="B61" i="56" s="1"/>
  <c r="H8" i="56"/>
  <c r="H14" i="56" s="1"/>
  <c r="H8" i="24"/>
  <c r="H14" i="24" s="1"/>
  <c r="B17" i="24"/>
  <c r="B19" i="24" s="1"/>
  <c r="B20" i="24"/>
  <c r="B21" i="24" s="1"/>
  <c r="B22" i="24" s="1"/>
  <c r="B23" i="24" s="1"/>
  <c r="B24" i="24" s="1"/>
  <c r="B25" i="24" s="1"/>
  <c r="B26" i="24" s="1"/>
  <c r="B27" i="24" s="1"/>
  <c r="B28" i="24" s="1"/>
  <c r="B30" i="24" s="1"/>
  <c r="B31" i="24" s="1"/>
  <c r="B32" i="24" s="1"/>
  <c r="B33" i="24" s="1"/>
  <c r="B37" i="24" s="1"/>
  <c r="B38" i="24" s="1"/>
  <c r="B39" i="24" s="1"/>
  <c r="B44" i="24" s="1"/>
  <c r="B45" i="24" s="1"/>
  <c r="B46" i="24" s="1"/>
  <c r="B48" i="24" s="1"/>
  <c r="B49" i="24" s="1"/>
  <c r="B50" i="24" s="1"/>
  <c r="B51" i="24" s="1"/>
  <c r="B52" i="24" s="1"/>
  <c r="B53" i="24" s="1"/>
  <c r="B55" i="24" s="1"/>
  <c r="B59" i="24" s="1"/>
  <c r="B61" i="24" s="1"/>
  <c r="B65" i="24" s="1"/>
  <c r="B69" i="24" s="1"/>
  <c r="B70" i="24" s="1"/>
  <c r="B71" i="24" s="1"/>
  <c r="B72" i="24" s="1"/>
  <c r="B74" i="24" s="1"/>
  <c r="B75" i="24" s="1"/>
  <c r="B77" i="24" s="1"/>
  <c r="B78" i="24" s="1"/>
  <c r="B82" i="24" s="1"/>
  <c r="B83" i="24" s="1"/>
  <c r="B84" i="24" s="1"/>
  <c r="B85" i="24" s="1"/>
  <c r="H19" i="56"/>
  <c r="H19" i="57"/>
  <c r="F26" i="56"/>
  <c r="H26" i="56"/>
  <c r="H39" i="56"/>
  <c r="F38" i="57"/>
  <c r="H38" i="57"/>
  <c r="H91" i="24"/>
  <c r="F36" i="57"/>
  <c r="H36" i="57" s="1"/>
  <c r="H39" i="57"/>
  <c r="F30" i="57"/>
  <c r="F23" i="57"/>
  <c r="H23" i="57" s="1"/>
  <c r="F61" i="24"/>
  <c r="H61" i="24" s="1"/>
  <c r="F31" i="57"/>
  <c r="H31" i="57"/>
  <c r="H30" i="57"/>
  <c r="F32" i="57"/>
  <c r="H32" i="57" s="1"/>
  <c r="H41" i="56" l="1"/>
  <c r="H51" i="56"/>
  <c r="H28" i="56"/>
  <c r="H33" i="57"/>
  <c r="H54" i="57" s="1"/>
  <c r="C25" i="50" s="1"/>
  <c r="H27" i="57"/>
  <c r="H79" i="24"/>
  <c r="B52" i="57"/>
  <c r="B50" i="57"/>
  <c r="B87" i="24"/>
  <c r="B89" i="24" s="1"/>
  <c r="B91" i="24" s="1"/>
  <c r="B95" i="24" s="1"/>
  <c r="B86" i="24"/>
  <c r="F33" i="56"/>
  <c r="H33" i="56" s="1"/>
  <c r="F35" i="56"/>
  <c r="H35" i="56" s="1"/>
  <c r="H31" i="56"/>
  <c r="F52" i="24"/>
  <c r="H52" i="24" s="1"/>
  <c r="F48" i="24"/>
  <c r="H48" i="24" s="1"/>
  <c r="F50" i="24"/>
  <c r="H50" i="24" s="1"/>
  <c r="F51" i="24"/>
  <c r="H51" i="24" s="1"/>
  <c r="F53" i="24"/>
  <c r="H53" i="24" s="1"/>
  <c r="H49" i="24"/>
  <c r="F23" i="24"/>
  <c r="F37" i="24"/>
  <c r="H92" i="24"/>
  <c r="H59" i="24"/>
  <c r="H62" i="24" s="1"/>
  <c r="F65" i="24"/>
  <c r="H65" i="24" s="1"/>
  <c r="H66" i="24" s="1"/>
  <c r="H56" i="24" l="1"/>
  <c r="F24" i="24"/>
  <c r="H23" i="24"/>
  <c r="H36" i="56"/>
  <c r="H63" i="56" s="1"/>
  <c r="C26" i="50" s="1"/>
  <c r="F38" i="24"/>
  <c r="H38" i="24" s="1"/>
  <c r="F39" i="24"/>
  <c r="H39" i="24" s="1"/>
  <c r="H37" i="24"/>
  <c r="H55" i="57"/>
  <c r="H56" i="57" s="1"/>
  <c r="H40" i="24" l="1"/>
  <c r="H64" i="56"/>
  <c r="H65" i="56" s="1"/>
  <c r="H24" i="24"/>
  <c r="F25" i="24"/>
  <c r="H25" i="24" s="1"/>
  <c r="H34" i="24" l="1"/>
  <c r="H97" i="24" s="1"/>
  <c r="H98" i="24" l="1"/>
  <c r="H99" i="24" s="1"/>
  <c r="C27" i="50" s="1"/>
  <c r="C28" i="50" s="1"/>
  <c r="C29" i="50" s="1"/>
  <c r="C24" i="50"/>
</calcChain>
</file>

<file path=xl/sharedStrings.xml><?xml version="1.0" encoding="utf-8"?>
<sst xmlns="http://schemas.openxmlformats.org/spreadsheetml/2006/main" count="838" uniqueCount="181">
  <si>
    <t>m2</t>
  </si>
  <si>
    <t>D.05.00.00</t>
  </si>
  <si>
    <t>NAWIERZCHNIE</t>
  </si>
  <si>
    <t>D.05.03.23</t>
  </si>
  <si>
    <t>*</t>
  </si>
  <si>
    <t>D.04.00.00</t>
  </si>
  <si>
    <t>PODBUDOWY</t>
  </si>
  <si>
    <t>D.04.01.01</t>
  </si>
  <si>
    <t>Lp.</t>
  </si>
  <si>
    <t>Numer</t>
  </si>
  <si>
    <t>Wyszczególnienie</t>
  </si>
  <si>
    <t>Jednostka</t>
  </si>
  <si>
    <t>elementów rozliczeniowych</t>
  </si>
  <si>
    <t>Nazwa</t>
  </si>
  <si>
    <t>Ilość</t>
  </si>
  <si>
    <t>D.08.00.00</t>
  </si>
  <si>
    <t>ELEMENTY ULIC</t>
  </si>
  <si>
    <t>D.08.03.01</t>
  </si>
  <si>
    <t xml:space="preserve">Obrzeża betonowe </t>
  </si>
  <si>
    <t>Ceny jednostkowe i wartości należy podawać z dokładnością do 2 miejsc po przecinku</t>
  </si>
  <si>
    <t>D.01.01.01</t>
  </si>
  <si>
    <t>ROBOTY PRZYGOTOWAWCZE</t>
  </si>
  <si>
    <t>D.01.02.04</t>
  </si>
  <si>
    <t>Profilowanie i zagęszczanie podłoża w korycie</t>
  </si>
  <si>
    <t>D.01.00.00</t>
  </si>
  <si>
    <t>___</t>
  </si>
  <si>
    <t>m</t>
  </si>
  <si>
    <t>m3</t>
  </si>
  <si>
    <t>RAZEM_ELEMENTY ULIC</t>
  </si>
  <si>
    <t>RAZEM_NAWIERZCHNIE</t>
  </si>
  <si>
    <t>RAZEM_PODBUDOWY</t>
  </si>
  <si>
    <t>RAZEM_ROBOTY PRZYGOTOWAWCZE</t>
  </si>
  <si>
    <t>Cena</t>
  </si>
  <si>
    <t>Wartość</t>
  </si>
  <si>
    <t>PLN</t>
  </si>
  <si>
    <t>jedn.
PLN</t>
  </si>
  <si>
    <t>SST</t>
  </si>
  <si>
    <t>km</t>
  </si>
  <si>
    <t>__</t>
  </si>
  <si>
    <t>D.08.01.01</t>
  </si>
  <si>
    <t>ROBOTY ZIEMNE</t>
  </si>
  <si>
    <t>D.02.01.01</t>
  </si>
  <si>
    <t>RAZEM_ROBOTY ZIEMNE</t>
  </si>
  <si>
    <t>D.09.00.00</t>
  </si>
  <si>
    <t>ZIELEŃ DROGOWA</t>
  </si>
  <si>
    <t>D.09.01.01.</t>
  </si>
  <si>
    <t>RAZEM_ZIELEŃ</t>
  </si>
  <si>
    <t>ryczałt</t>
  </si>
  <si>
    <t>WYMAGANIA OGÓLNE</t>
  </si>
  <si>
    <t>RAZEM_WYMAGANIA OGÓLNE</t>
  </si>
  <si>
    <t>Wymagania ogólne:</t>
  </si>
  <si>
    <t xml:space="preserve"> - zabezpieczenie istniejącej osnowy geodezyjnej,</t>
  </si>
  <si>
    <t xml:space="preserve"> - wykonanie inwentaryzacji powykonawczej,</t>
  </si>
  <si>
    <t>Roboty odtworzeniowe</t>
  </si>
  <si>
    <t>Roboty rozbiórkowe</t>
  </si>
  <si>
    <t>Wykonanie wykopów</t>
  </si>
  <si>
    <t>Nawierzchnia z betonowej kostki brukowej</t>
  </si>
  <si>
    <t>Roboty krawężnikowe</t>
  </si>
  <si>
    <t xml:space="preserve"> - zapewnienie tymczasowej organizacji ruchu,</t>
  </si>
  <si>
    <t>Zieleń drogowa</t>
  </si>
  <si>
    <t>t</t>
  </si>
  <si>
    <t>D.00.00.00</t>
  </si>
  <si>
    <t xml:space="preserve"> - dodatek za dalsze rozpoczęty 1km transportu</t>
  </si>
  <si>
    <t xml:space="preserve"> - rozłożenie ziemi urodzajnej (grubości 15cm) pod trawniki na terenie płaskim wraz z założeniem trawnika</t>
  </si>
  <si>
    <t>Nazwa obiektów:</t>
  </si>
  <si>
    <t>Nazwa i adres zamawiającego:</t>
  </si>
  <si>
    <t>Nazwa i adres jednostki opracowującej kosztorys:</t>
  </si>
  <si>
    <t>mgr inż. Piotr Mańkowski</t>
  </si>
  <si>
    <t>Imię i nazwisko opracowującego kosztorys:</t>
  </si>
  <si>
    <t>RAZEM_(brutto)</t>
  </si>
  <si>
    <t>zł</t>
  </si>
  <si>
    <t>RAZEM_(netto)</t>
  </si>
  <si>
    <t>VAT_23%</t>
  </si>
  <si>
    <t>Podstawa opracowania - kody CPV:</t>
  </si>
  <si>
    <t xml:space="preserve"> - rozebranie krawężnika betonowego wraz z ławą betonową</t>
  </si>
  <si>
    <t xml:space="preserve"> - nadzór nad pracami dla poszczególnych sieci,</t>
  </si>
  <si>
    <t xml:space="preserve"> - otworzenie osnowy geodezyjnej wynikającej prac rozbiórkowych,</t>
  </si>
  <si>
    <t xml:space="preserve"> - rozebranie obrzeży betonowych</t>
  </si>
  <si>
    <t xml:space="preserve"> - ustawienie krawężników betonowych o wym. 15x30 cm na ławie betonowej z betonu B15 z oporem</t>
  </si>
  <si>
    <t xml:space="preserve"> - ustawienie obrzeży betonowych o wymiarach 8x30cm na ławie betonowej B15 z wypełnieniem spoin zaprawą cementową</t>
  </si>
  <si>
    <t>ProManLab - Piotr Mańkowski
64-100 Leszno, ul. Orłowskiego 8
NIP: 697-216-15-73</t>
  </si>
  <si>
    <t>Podbudowa z mieszanki związanej cementem</t>
  </si>
  <si>
    <r>
      <rPr>
        <b/>
        <sz val="7"/>
        <rFont val="Arial"/>
        <family val="2"/>
        <charset val="238"/>
      </rPr>
      <t>45.23.00.00-8</t>
    </r>
    <r>
      <rPr>
        <sz val="7"/>
        <rFont val="Arial"/>
        <family val="2"/>
        <charset val="238"/>
      </rPr>
      <t xml:space="preserve">
Roboty budowlane dotyczące budowy rurociągów, ciągów komunikacyjnych i energetycznych do autostrad, dróg, lotnisk, kolei oraz wyrównania terenu.
</t>
    </r>
    <r>
      <rPr>
        <b/>
        <sz val="7"/>
        <rFont val="Arial"/>
        <family val="2"/>
        <charset val="238"/>
      </rPr>
      <t>45.23.30.00-9</t>
    </r>
    <r>
      <rPr>
        <sz val="7"/>
        <rFont val="Arial"/>
        <family val="2"/>
        <charset val="238"/>
      </rPr>
      <t xml:space="preserve">
Roboty w zakresie konstruowania, fundamentowania oraz powierzchniowe autostrad, dróg.
</t>
    </r>
    <r>
      <rPr>
        <b/>
        <sz val="7"/>
        <rFont val="Arial"/>
        <family val="2"/>
        <charset val="238"/>
      </rPr>
      <t>45.23.13.00-8</t>
    </r>
    <r>
      <rPr>
        <sz val="7"/>
        <rFont val="Arial"/>
        <family val="2"/>
        <charset val="238"/>
      </rPr>
      <t xml:space="preserve">
Roboty budowlane w zakresie budowy wodociągów i rurociągów do odprowadzenia ścieków.
</t>
    </r>
    <r>
      <rPr>
        <b/>
        <sz val="7"/>
        <rFont val="Arial"/>
        <family val="2"/>
        <charset val="238"/>
      </rPr>
      <t>45.23.31.40-2</t>
    </r>
    <r>
      <rPr>
        <sz val="7"/>
        <rFont val="Arial"/>
        <family val="2"/>
        <charset val="238"/>
      </rPr>
      <t xml:space="preserve">
Roboty drogowe
</t>
    </r>
    <r>
      <rPr>
        <b/>
        <sz val="7"/>
        <rFont val="Arial"/>
        <family val="2"/>
        <charset val="238"/>
      </rPr>
      <t>71.32.00.00-7</t>
    </r>
    <r>
      <rPr>
        <sz val="7"/>
        <rFont val="Arial"/>
        <family val="2"/>
        <charset val="238"/>
      </rPr>
      <t xml:space="preserve">
Usługi inżynieryjne w zakresie projektowania</t>
    </r>
  </si>
  <si>
    <t>Urząd Miasta Leszno
64-100 Leszno, ul. Kazimierza Karasia 15</t>
  </si>
  <si>
    <t xml:space="preserve"> - odtworzenie trasy i punktów wysokościowych 
(długość chodnika)</t>
  </si>
  <si>
    <r>
      <t xml:space="preserve"> - </t>
    </r>
    <r>
      <rPr>
        <i/>
        <sz val="10"/>
        <rFont val="Times New Roman"/>
        <family val="1"/>
        <charset val="238"/>
      </rPr>
      <t>nawierzchnia chodnika z</t>
    </r>
    <r>
      <rPr>
        <sz val="10"/>
        <rFont val="Times New Roman"/>
        <family val="1"/>
        <charset val="238"/>
      </rPr>
      <t xml:space="preserve"> betonowej kostki brukowej gr. 8cm na podsypce cementowo-piaskowej gr. 3cm (typu "domino" szara)
</t>
    </r>
  </si>
  <si>
    <t>D.02.00.00</t>
  </si>
  <si>
    <t>D.04.05.02</t>
  </si>
  <si>
    <t>„Remont chodników przy ul. Studziennej, osiedlu Ogrody
oraz budowy miejsc parkingowych"</t>
  </si>
  <si>
    <t>Część 1 - chodnik przy ul. Studziennej.</t>
  </si>
  <si>
    <t>Część 2 - chodnik na osiedlu Ogrody.</t>
  </si>
  <si>
    <t>Część 3 - miejsca postojowe na osiedlu Ogrody.</t>
  </si>
  <si>
    <t xml:space="preserve"> - rozebranie nawierzchni chodnika z płyt betonowych "do likwidacji"</t>
  </si>
  <si>
    <t xml:space="preserve"> - frezowanie nawierzchni bitumicznej, średnia grubość ok. 10cm</t>
  </si>
  <si>
    <r>
      <t xml:space="preserve"> - transport rozebranych elementów </t>
    </r>
    <r>
      <rPr>
        <b/>
        <sz val="10"/>
        <rFont val="Times New Roman"/>
        <family val="1"/>
        <charset val="238"/>
      </rPr>
      <t>(pkt. 4</t>
    </r>
    <r>
      <rPr>
        <b/>
        <sz val="10"/>
        <rFont val="Czcionka tekstu podstawowego"/>
        <charset val="238"/>
      </rPr>
      <t>÷8</t>
    </r>
    <r>
      <rPr>
        <b/>
        <sz val="10"/>
        <rFont val="Times New Roman"/>
        <family val="1"/>
        <charset val="238"/>
      </rPr>
      <t>)</t>
    </r>
    <r>
      <rPr>
        <sz val="10"/>
        <rFont val="Times New Roman"/>
        <family val="1"/>
        <charset val="238"/>
      </rPr>
      <t xml:space="preserve"> wraz z utylizacją</t>
    </r>
  </si>
  <si>
    <r>
      <t xml:space="preserve"> - transport rozebranych elementów </t>
    </r>
    <r>
      <rPr>
        <b/>
        <sz val="10"/>
        <rFont val="Times New Roman"/>
        <family val="1"/>
        <charset val="238"/>
      </rPr>
      <t>(pkt. 3)</t>
    </r>
    <r>
      <rPr>
        <sz val="10"/>
        <rFont val="Times New Roman"/>
        <family val="1"/>
        <charset val="238"/>
      </rPr>
      <t xml:space="preserve"> na plac Zamawiającego, do 10km</t>
    </r>
  </si>
  <si>
    <r>
      <t xml:space="preserve"> - utylizacja gruntu z </t>
    </r>
    <r>
      <rPr>
        <b/>
        <sz val="10"/>
        <rFont val="Times New Roman"/>
        <family val="1"/>
        <charset val="238"/>
      </rPr>
      <t>pkt. 12</t>
    </r>
  </si>
  <si>
    <t xml:space="preserve"> - ustawienie krawężników betonowych o wym. 15x30 cm na ławie betonowej z betonu B15 z oporem, krawężnik zewnętrzny łukowy R=6,0m</t>
  </si>
  <si>
    <t xml:space="preserve"> - ustawienie krawężników betonowych o wym. 15x30 cm na ławie betonowej z betonu B15 z oporem, krawężnik zewnętrzny łukowy R=8,0m</t>
  </si>
  <si>
    <t xml:space="preserve"> - ustawienie krawężników betonowych najazdowych o wym. 15x22 cm na ławie betonowej z betonu B15 z oporem</t>
  </si>
  <si>
    <t>D.03.00.00</t>
  </si>
  <si>
    <t>ODWODNIENIE KORPUSU DROGOWEGO</t>
  </si>
  <si>
    <t>Regulacja pionowa</t>
  </si>
  <si>
    <t>szt.</t>
  </si>
  <si>
    <t>Regulacja pionowa studzienek gazowych</t>
  </si>
  <si>
    <t>RAZEM_ODWODNIENIE KORPUSU DROGOWEGO</t>
  </si>
  <si>
    <t>Regulacja pionowa studzienek telekomunikacyjnych</t>
  </si>
  <si>
    <t>D.03.01.01</t>
  </si>
  <si>
    <t>Wykonanie kanalizacji deszczowej</t>
  </si>
  <si>
    <t>Wykonanie wpustów</t>
  </si>
  <si>
    <r>
      <t xml:space="preserve"> - wykonanie </t>
    </r>
    <r>
      <rPr>
        <b/>
        <sz val="10"/>
        <rFont val="Times New Roman"/>
        <family val="1"/>
        <charset val="238"/>
      </rPr>
      <t xml:space="preserve">podsypki </t>
    </r>
    <r>
      <rPr>
        <sz val="10"/>
        <rFont val="Times New Roman"/>
        <family val="1"/>
        <charset val="238"/>
      </rPr>
      <t>pod wpust o grubości 0,2m i powierzchni według dokumentacji technnicznej (materiał: pospółka)</t>
    </r>
  </si>
  <si>
    <t xml:space="preserve"> - ułożenie studzienek ściekowych betonowe o śr.500 mm z osadnikiem bez syfonu i wpustem</t>
  </si>
  <si>
    <t xml:space="preserve"> - zasypywanie wykopów o ścianach pionowych o szerokości 0.8-2.5 m i głęb.do 3.0 m piaskiem średnim</t>
  </si>
  <si>
    <t>Wykonanie przykanalików</t>
  </si>
  <si>
    <r>
      <t xml:space="preserve"> - wykonanie </t>
    </r>
    <r>
      <rPr>
        <b/>
        <sz val="10"/>
        <rFont val="Times New Roman"/>
        <family val="1"/>
        <charset val="238"/>
      </rPr>
      <t>podsypki</t>
    </r>
    <r>
      <rPr>
        <sz val="10"/>
        <rFont val="Times New Roman"/>
        <family val="1"/>
        <charset val="238"/>
      </rPr>
      <t xml:space="preserve"> pod kanał o grubości 0,1m i szerokości 0,5m</t>
    </r>
  </si>
  <si>
    <t xml:space="preserve"> - umocnienie ścian wykopów wąskoprzestrzennych o ścianach pionowych za pomocą metalowej obudowy skrzyniowej (boks), szerokości 1,0 - 2,0 m , grunt kat. I-IV, średnia głębokość 0,8m</t>
  </si>
  <si>
    <r>
      <t xml:space="preserve"> - zasypywanie wykopów o ścianach pionowych o szerokości 0.8-2.5 m i głęb.do 3.0 m w gr.kat. I-III , </t>
    </r>
    <r>
      <rPr>
        <b/>
        <sz val="10"/>
        <rFont val="Times New Roman"/>
        <family val="1"/>
        <charset val="238"/>
      </rPr>
      <t>obsypka rury</t>
    </r>
    <r>
      <rPr>
        <sz val="10"/>
        <rFont val="Times New Roman"/>
        <family val="1"/>
        <charset val="238"/>
      </rPr>
      <t xml:space="preserve"> wykonana  ręcznie na wysokość 30 cm ponad wierzch rur - wymiana gruntu , piasek dowieziony</t>
    </r>
  </si>
  <si>
    <r>
      <t xml:space="preserve"> - zasypanie wykopów z zagęszczeniem mechanicznym ubijakami, </t>
    </r>
    <r>
      <rPr>
        <b/>
        <sz val="10"/>
        <rFont val="Times New Roman"/>
        <family val="1"/>
        <charset val="238"/>
      </rPr>
      <t xml:space="preserve">zasypka rury </t>
    </r>
    <r>
      <rPr>
        <sz val="10"/>
        <rFont val="Times New Roman"/>
        <family val="1"/>
        <charset val="238"/>
      </rPr>
      <t>wykonana mechanicznie, średnia miąższość 30cm</t>
    </r>
  </si>
  <si>
    <t xml:space="preserve"> - mechaniczne czyszczenie kanałów kołowych sieci zewnętrznej do śr. 0.16m po robotach montażowych, przygotowanie do odbioru</t>
  </si>
  <si>
    <t xml:space="preserve"> - demontaż nawierzchni chodnika z kostki betonowej "holand" do przetransportowania na plac Zamawiającego</t>
  </si>
  <si>
    <t xml:space="preserve"> - wykonanie wykopów w gruntach kat. I - III (transport do 10km) pod  konstrukcję chodników, krawężników, kanalizację deszczową oraz wodociąg</t>
  </si>
  <si>
    <t xml:space="preserve"> - warstwa z mieszanki związanej cementem C3/4 MPa o gr. 15cm (stabilizacja gruntu w mieszarce) pod chodnik</t>
  </si>
  <si>
    <t>D.07.00.00</t>
  </si>
  <si>
    <t>URZĄDZENIA BEZPIECZEŃSTWA RUCHU</t>
  </si>
  <si>
    <t>D.07.01.01</t>
  </si>
  <si>
    <t>Oznakowanie poziome</t>
  </si>
  <si>
    <t xml:space="preserve"> - wykonanie oznakowania poziomego P-4</t>
  </si>
  <si>
    <t xml:space="preserve"> - wykoanie oznakowania poziomego P-13</t>
  </si>
  <si>
    <t xml:space="preserve"> - wykoanie oznakowania poziomego P-14</t>
  </si>
  <si>
    <t>D.07.02.01</t>
  </si>
  <si>
    <t>Oznakowanie pionowe</t>
  </si>
  <si>
    <t xml:space="preserve"> - demontaż słupków stalowych do znaków</t>
  </si>
  <si>
    <t xml:space="preserve"> - ustawienie słupków stalowych do znaków</t>
  </si>
  <si>
    <t>Przymocowanie tarcz znaków drogowych</t>
  </si>
  <si>
    <t xml:space="preserve"> - demontaż tarczy znaków drogowych</t>
  </si>
  <si>
    <t xml:space="preserve"> - tarcze znaków (typ małe)</t>
  </si>
  <si>
    <t>RAZEM_URZĄDZENIA BEZPIECZEŃSTWA RUCHU</t>
  </si>
  <si>
    <t xml:space="preserve"> - wykonanie oznakowania poziomego P-10</t>
  </si>
  <si>
    <t xml:space="preserve"> - rozebranie podbudowy z kruszywa, średnia grubość ok. 10cm</t>
  </si>
  <si>
    <t xml:space="preserve"> - wykonanie wykopów w gruntach kat. I - III (transport do 10km) pod  konstrukcję chodnika i miejsc postojowych</t>
  </si>
  <si>
    <t xml:space="preserve"> - profilowanie i zagęszczanie podłoża pod warstwę z mieszanki związanej cementem</t>
  </si>
  <si>
    <t xml:space="preserve"> - warstwa z mieszanki związanej cementem C3/4 MPa o gr. 10cm (stabilizacja gruntu w mieszarce)</t>
  </si>
  <si>
    <t>D.04.04.02</t>
  </si>
  <si>
    <t>Podbudowa z mieszanki niezwiązanej</t>
  </si>
  <si>
    <r>
      <t xml:space="preserve"> - wykonanie warstwa z kruszywa łamanego C</t>
    </r>
    <r>
      <rPr>
        <vertAlign val="subscript"/>
        <sz val="10"/>
        <rFont val="Times New Roman"/>
        <family val="1"/>
        <charset val="238"/>
      </rPr>
      <t>90/3</t>
    </r>
    <r>
      <rPr>
        <sz val="10"/>
        <rFont val="Times New Roman"/>
        <family val="1"/>
        <charset val="238"/>
      </rPr>
      <t xml:space="preserve"> stabilizowanego mechanicznie - gr. 15cm</t>
    </r>
  </si>
  <si>
    <t xml:space="preserve"> - nawierzchnia chodnika z betonowej kostki brukowej gr. 8cm na podsypce cementowo-piaskowej gr. 3cm (typu "domino" szara)
</t>
  </si>
  <si>
    <t xml:space="preserve"> - nawierzchnia miejsc postojowych z betonowej kostki brukowej gr. 8cm na podsypce cementowo-piaskowej gr. 3cm (typu "domino" czerwona)
</t>
  </si>
  <si>
    <t xml:space="preserve"> - przestawienie trzepaka w miejsce wskazane przez Inwestora</t>
  </si>
  <si>
    <t>D.03.03.01.</t>
  </si>
  <si>
    <t>Przebudowa hydrantu</t>
  </si>
  <si>
    <t>Wykonanie przebudowy hydrantu wraz z przyłączem</t>
  </si>
  <si>
    <t xml:space="preserve"> - kanały z rur PVC łączonych na wcisk o śr. zewn. 160 mm wraz z zamknięciem wodnym (syfon) dla każdego wpustu</t>
  </si>
  <si>
    <r>
      <t xml:space="preserve"> - transport rozebranych elementów </t>
    </r>
    <r>
      <rPr>
        <b/>
        <sz val="10"/>
        <rFont val="Times New Roman"/>
        <family val="1"/>
        <charset val="238"/>
      </rPr>
      <t>(pkt. 4</t>
    </r>
    <r>
      <rPr>
        <b/>
        <sz val="10"/>
        <rFont val="Czcionka tekstu podstawowego"/>
        <charset val="238"/>
      </rPr>
      <t>÷6</t>
    </r>
    <r>
      <rPr>
        <b/>
        <sz val="10"/>
        <rFont val="Times New Roman"/>
        <family val="1"/>
        <charset val="238"/>
      </rPr>
      <t>)</t>
    </r>
    <r>
      <rPr>
        <sz val="10"/>
        <rFont val="Times New Roman"/>
        <family val="1"/>
        <charset val="238"/>
      </rPr>
      <t xml:space="preserve"> wraz z utylizacją</t>
    </r>
  </si>
  <si>
    <t xml:space="preserve"> - warstwa z mieszanki związanej cementem C3/4 MPa o gr. 15cm (stabilizacja gruntu w mieszarce) pod chodnik i zjazdy</t>
  </si>
  <si>
    <t xml:space="preserve"> - wykonanie wykopów w gruntach kat. I - III (transport do 10km) pod  konstrukcję chodników, zjazdów i krawężników</t>
  </si>
  <si>
    <r>
      <t xml:space="preserve"> - transport rozebranych elementów </t>
    </r>
    <r>
      <rPr>
        <b/>
        <sz val="10"/>
        <rFont val="Times New Roman"/>
        <family val="1"/>
        <charset val="238"/>
      </rPr>
      <t>(pkt. 4</t>
    </r>
    <r>
      <rPr>
        <b/>
        <sz val="10"/>
        <rFont val="Times New Roman"/>
        <family val="1"/>
        <charset val="238"/>
      </rPr>
      <t>)</t>
    </r>
    <r>
      <rPr>
        <sz val="10"/>
        <rFont val="Times New Roman"/>
        <family val="1"/>
        <charset val="238"/>
      </rPr>
      <t xml:space="preserve"> wraz z utylizacją</t>
    </r>
  </si>
  <si>
    <r>
      <t xml:space="preserve"> - utylizacja gruntu z </t>
    </r>
    <r>
      <rPr>
        <b/>
        <sz val="10"/>
        <rFont val="Times New Roman"/>
        <family val="1"/>
        <charset val="238"/>
      </rPr>
      <t>pkt. 7</t>
    </r>
  </si>
  <si>
    <t xml:space="preserve"> - wykonanie oznakowania poziomego P-24</t>
  </si>
  <si>
    <r>
      <t xml:space="preserve"> - wykonanie oznakowania poziomego pole o powierzchni 3,6,m</t>
    </r>
    <r>
      <rPr>
        <sz val="10"/>
        <rFont val="Czcionka tekstu podstawowego"/>
        <charset val="238"/>
      </rPr>
      <t>×</t>
    </r>
    <r>
      <rPr>
        <sz val="10"/>
        <rFont val="Times New Roman"/>
        <family val="1"/>
        <charset val="238"/>
      </rPr>
      <t>5,0m
pomalowane na niebiesko wraz z kopertą</t>
    </r>
  </si>
  <si>
    <t xml:space="preserve"> - wykonanie oznakowania poziomego P-2a</t>
  </si>
  <si>
    <t>D.01.04.01.</t>
  </si>
  <si>
    <t xml:space="preserve"> - demontaż nawierzchni chodnika z kostki betonowej do przetransportowania na plac Zamawiającego</t>
  </si>
  <si>
    <t xml:space="preserve"> - rozebranie podbudowy pod frezowaną nawierzchnią bitumiczną, średnia grubość ok. 10cm</t>
  </si>
  <si>
    <r>
      <t xml:space="preserve"> - utylizacja gruntu z </t>
    </r>
    <r>
      <rPr>
        <b/>
        <sz val="10"/>
        <rFont val="Times New Roman"/>
        <family val="1"/>
        <charset val="238"/>
      </rPr>
      <t>pkt. 16</t>
    </r>
  </si>
  <si>
    <t xml:space="preserve"> - przesadzenie krzewów "żywopłot" roznących wzgłuż chodnika w odległości 0,5 od projektowanego obrzeża betonowego (na wysokości projektowanego przejścia dla pieszych)</t>
  </si>
  <si>
    <t>Regulacja pionowa wpustów deszczowych</t>
  </si>
  <si>
    <t>Regulacja pionowa zasów wodociągowych</t>
  </si>
  <si>
    <t xml:space="preserve"> - ustawienie krawężników betonowych o wym. 15x30 cm na ławie betonowej z betonu B15 z oporem, krawężnik zewnętrzny łukowy R=7,0m</t>
  </si>
  <si>
    <t xml:space="preserve"> - ustawienie krawężników betonowych najazdowych o wym. 15x22 cm na ławie betonowej z betonu B15 z oporem, krawężnik zewnętrzny łukowy R=6,0m</t>
  </si>
  <si>
    <t xml:space="preserve"> - ustawienie krawężników betonowych najazdowych o wym. 15x22 cm na ławie betonowej z betonu B15 z oporem, krawężnik zewnętrzny łukowy R=8,0m</t>
  </si>
  <si>
    <t>D.08.05.01</t>
  </si>
  <si>
    <t>Ściek</t>
  </si>
  <si>
    <t xml:space="preserve"> - ułożenie ścieku drogowego z betonowej kostki typu holand (kolor - szary) na podsypce cem-piaskowej, szerokość ścieku 20cm</t>
  </si>
  <si>
    <r>
      <t xml:space="preserve"> - </t>
    </r>
    <r>
      <rPr>
        <i/>
        <sz val="10"/>
        <rFont val="Times New Roman"/>
        <family val="1"/>
        <charset val="238"/>
      </rPr>
      <t>nawierzchnia chodnika z</t>
    </r>
    <r>
      <rPr>
        <sz val="10"/>
        <rFont val="Times New Roman"/>
        <family val="1"/>
        <charset val="238"/>
      </rPr>
      <t xml:space="preserve"> betonowej kostki brukowej gr. 8cm na podsypce cementowo-piaskowej gr. 3cm (kształt "holand" szara)
</t>
    </r>
  </si>
  <si>
    <r>
      <t xml:space="preserve"> - </t>
    </r>
    <r>
      <rPr>
        <i/>
        <sz val="10"/>
        <rFont val="Times New Roman"/>
        <family val="1"/>
        <charset val="238"/>
      </rPr>
      <t>nawierzchnia zjazdów z</t>
    </r>
    <r>
      <rPr>
        <sz val="10"/>
        <rFont val="Times New Roman"/>
        <family val="1"/>
        <charset val="238"/>
      </rPr>
      <t xml:space="preserve"> betonowej kostki brukowej gr. 8cm na podsypce cementowo-piaskowej gr. 3cm (kształt "holand" czerwona)
</t>
    </r>
  </si>
  <si>
    <t xml:space="preserve"> - ustawienie krawężników betonowych o wym. 15x22 cm na ławie betonowej z betonu B15 z oporem, krawężnik zewnętrzny łukowy R=6,0m</t>
  </si>
  <si>
    <t>KOSZTORYS  OFERTOWY</t>
  </si>
  <si>
    <t>Wartość kosztorysowa robót (netto):</t>
  </si>
  <si>
    <t xml:space="preserve">RAZEM NETTO:        </t>
  </si>
  <si>
    <t>PODATEK VAT 23%</t>
  </si>
  <si>
    <t>OGÓŁEM BRUTTO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</si>
</sst>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164" formatCode="#,##0.00&quot;,     &quot;;\-#,##0.00&quot;,     &quot;;&quot; -&quot;#&quot;      &quot;;@\ "/>
    <numFmt numFmtId="165" formatCode="#,##0_ ;[Red]\-#,##0\ "/>
    <numFmt numFmtId="166" formatCode="#,##0&quot; F&quot;_);[Red]\(#,##0&quot; F&quot;\)"/>
    <numFmt numFmtId="167" formatCode="#,##0.00&quot; F&quot;_);[Red]\(#,##0.00&quot; F&quot;\)"/>
    <numFmt numFmtId="168" formatCode="0.0"/>
    <numFmt numFmtId="169" formatCode="#,##0.00000"/>
    <numFmt numFmtId="171" formatCode="#,##0.00\ &quot;zł&quot;"/>
  </numFmts>
  <fonts count="70">
    <font>
      <sz val="10"/>
      <name val="Arial"/>
      <charset val="238"/>
    </font>
    <font>
      <sz val="11"/>
      <color indexed="8"/>
      <name val="Calibri"/>
      <family val="1"/>
      <charset val="238"/>
    </font>
    <font>
      <sz val="11"/>
      <color indexed="8"/>
      <name val="Czcionka tekstu podstawowego"/>
      <family val="2"/>
      <charset val="238"/>
    </font>
    <font>
      <sz val="11"/>
      <color indexed="9"/>
      <name val="Calibri"/>
      <family val="1"/>
      <charset val="238"/>
    </font>
    <font>
      <sz val="11"/>
      <color indexed="9"/>
      <name val="Czcionka tekstu podstawowego"/>
      <family val="2"/>
      <charset val="238"/>
    </font>
    <font>
      <sz val="11"/>
      <color indexed="20"/>
      <name val="Calibri"/>
      <family val="1"/>
      <charset val="238"/>
    </font>
    <font>
      <b/>
      <sz val="11"/>
      <color indexed="52"/>
      <name val="Calibri"/>
      <family val="1"/>
      <charset val="238"/>
    </font>
    <font>
      <b/>
      <sz val="11"/>
      <color indexed="9"/>
      <name val="Calibri"/>
      <family val="1"/>
      <charset val="238"/>
    </font>
    <font>
      <sz val="10"/>
      <name val="Arial CE"/>
      <charset val="238"/>
    </font>
    <font>
      <sz val="11"/>
      <color indexed="62"/>
      <name val="Czcionka tekstu podstawowego"/>
      <family val="2"/>
      <charset val="238"/>
    </font>
    <font>
      <b/>
      <sz val="11"/>
      <color indexed="63"/>
      <name val="Czcionka tekstu podstawowego"/>
      <family val="2"/>
      <charset val="238"/>
    </font>
    <font>
      <i/>
      <sz val="11"/>
      <color indexed="23"/>
      <name val="Calibri"/>
      <family val="1"/>
      <charset val="238"/>
    </font>
    <font>
      <sz val="11"/>
      <color indexed="17"/>
      <name val="Calibri"/>
      <family val="1"/>
      <charset val="238"/>
    </font>
    <font>
      <b/>
      <sz val="15"/>
      <color indexed="56"/>
      <name val="Calibri"/>
      <family val="1"/>
      <charset val="238"/>
    </font>
    <font>
      <b/>
      <sz val="13"/>
      <color indexed="56"/>
      <name val="Calibri"/>
      <family val="1"/>
      <charset val="238"/>
    </font>
    <font>
      <b/>
      <sz val="11"/>
      <color indexed="56"/>
      <name val="Calibri"/>
      <family val="1"/>
      <charset val="238"/>
    </font>
    <font>
      <sz val="11"/>
      <color indexed="62"/>
      <name val="Calibri"/>
      <family val="1"/>
      <charset val="238"/>
    </font>
    <font>
      <sz val="11"/>
      <color indexed="52"/>
      <name val="Czcionka tekstu podstawowego"/>
      <family val="2"/>
      <charset val="238"/>
    </font>
    <font>
      <b/>
      <sz val="11"/>
      <color indexed="9"/>
      <name val="Czcionka tekstu podstawowego"/>
      <family val="2"/>
      <charset val="238"/>
    </font>
    <font>
      <sz val="11"/>
      <color indexed="52"/>
      <name val="Calibri"/>
      <family val="1"/>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1"/>
      <charset val="238"/>
    </font>
    <font>
      <sz val="10"/>
      <name val="MS Sans Serif"/>
      <family val="1"/>
      <charset val="238"/>
    </font>
    <font>
      <b/>
      <sz val="11"/>
      <color indexed="52"/>
      <name val="Czcionka tekstu podstawowego"/>
      <family val="2"/>
      <charset val="238"/>
    </font>
    <font>
      <b/>
      <sz val="11"/>
      <color indexed="63"/>
      <name val="Calibri"/>
      <family val="1"/>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1"/>
      <charset val="238"/>
    </font>
    <font>
      <b/>
      <sz val="11"/>
      <color indexed="8"/>
      <name val="Calibri"/>
      <family val="1"/>
      <charset val="238"/>
    </font>
    <font>
      <b/>
      <sz val="18"/>
      <color indexed="56"/>
      <name val="Cambria"/>
      <family val="2"/>
      <charset val="238"/>
    </font>
    <font>
      <sz val="11"/>
      <color indexed="10"/>
      <name val="Calibri"/>
      <family val="1"/>
      <charset val="238"/>
    </font>
    <font>
      <b/>
      <sz val="10"/>
      <name val="Times New Roman"/>
      <family val="1"/>
      <charset val="238"/>
    </font>
    <font>
      <sz val="10"/>
      <name val="Times New Roman"/>
      <family val="1"/>
      <charset val="238"/>
    </font>
    <font>
      <sz val="10"/>
      <name val="Arial CE"/>
    </font>
    <font>
      <sz val="10"/>
      <name val="Helv"/>
      <charset val="238"/>
    </font>
    <font>
      <sz val="10"/>
      <name val="MS Sans Serif"/>
      <family val="2"/>
      <charset val="238"/>
    </font>
    <font>
      <sz val="10"/>
      <name val="Pl Courier New"/>
    </font>
    <font>
      <b/>
      <vertAlign val="superscript"/>
      <sz val="10"/>
      <name val="Times New Roman"/>
      <family val="1"/>
      <charset val="238"/>
    </font>
    <font>
      <b/>
      <i/>
      <sz val="10"/>
      <name val="Times New Roman"/>
      <family val="1"/>
      <charset val="238"/>
    </font>
    <font>
      <sz val="10"/>
      <name val="Helv"/>
      <family val="2"/>
      <charset val="238"/>
    </font>
    <font>
      <b/>
      <sz val="9"/>
      <name val="Times New Roman"/>
      <family val="1"/>
      <charset val="238"/>
    </font>
    <font>
      <sz val="9"/>
      <name val="Times New Roman"/>
      <family val="1"/>
      <charset val="238"/>
    </font>
    <font>
      <b/>
      <i/>
      <sz val="12"/>
      <name val="Times New Roman"/>
      <family val="1"/>
      <charset val="238"/>
    </font>
    <font>
      <b/>
      <sz val="14"/>
      <name val="Times New Roman"/>
      <family val="1"/>
      <charset val="238"/>
    </font>
    <font>
      <i/>
      <sz val="10"/>
      <name val="Times New Roman"/>
      <family val="1"/>
      <charset val="238"/>
    </font>
    <font>
      <vertAlign val="superscript"/>
      <sz val="10"/>
      <name val="Times New Roman"/>
      <family val="1"/>
      <charset val="238"/>
    </font>
    <font>
      <sz val="10"/>
      <name val="Times New Roman"/>
      <family val="1"/>
    </font>
    <font>
      <sz val="10"/>
      <name val="Times New Roman CE"/>
      <family val="1"/>
      <charset val="238"/>
    </font>
    <font>
      <b/>
      <sz val="12"/>
      <name val="Times New Roman"/>
      <family val="1"/>
      <charset val="238"/>
    </font>
    <font>
      <sz val="10"/>
      <name val="Arial"/>
      <family val="2"/>
      <charset val="238"/>
    </font>
    <font>
      <b/>
      <sz val="10"/>
      <name val="Arial"/>
      <family val="2"/>
      <charset val="238"/>
    </font>
    <font>
      <sz val="12"/>
      <name val="Times New Roman"/>
      <family val="1"/>
      <charset val="238"/>
    </font>
    <font>
      <b/>
      <sz val="14"/>
      <name val="Arial"/>
      <family val="2"/>
      <charset val="238"/>
    </font>
    <font>
      <b/>
      <sz val="10"/>
      <name val="Czcionka tekstu podstawowego"/>
      <charset val="238"/>
    </font>
    <font>
      <sz val="7"/>
      <name val="Arial"/>
      <family val="2"/>
      <charset val="238"/>
    </font>
    <font>
      <b/>
      <sz val="7"/>
      <name val="Arial"/>
      <family val="2"/>
      <charset val="238"/>
    </font>
    <font>
      <i/>
      <sz val="10"/>
      <name val="Arial"/>
      <family val="2"/>
      <charset val="238"/>
    </font>
    <font>
      <vertAlign val="subscript"/>
      <sz val="10"/>
      <name val="Times New Roman"/>
      <family val="1"/>
      <charset val="238"/>
    </font>
    <font>
      <sz val="10"/>
      <name val="Czcionka tekstu podstawowego"/>
      <charset val="238"/>
    </font>
    <font>
      <sz val="10"/>
      <color rgb="FFFF0000"/>
      <name val="Times New Roman"/>
      <family val="1"/>
      <charset val="238"/>
    </font>
    <font>
      <sz val="10"/>
      <color rgb="FFFF0000"/>
      <name val="Arial"/>
      <family val="2"/>
      <charset val="238"/>
    </font>
    <font>
      <sz val="10"/>
      <color rgb="FFC00000"/>
      <name val="Times New Roman"/>
      <family val="1"/>
      <charset val="238"/>
    </font>
    <font>
      <sz val="10"/>
      <color rgb="FFFF0000"/>
      <name val="Times New Roman"/>
      <family val="1"/>
    </font>
    <font>
      <i/>
      <sz val="10"/>
      <color rgb="FFFF0000"/>
      <name val="Times New Roman"/>
      <family val="1"/>
      <charset val="238"/>
    </font>
    <font>
      <b/>
      <sz val="10"/>
      <color rgb="FFFF0000"/>
      <name val="Times New Roman"/>
      <family val="1"/>
      <charset val="238"/>
    </font>
    <font>
      <b/>
      <vertAlign val="superscript"/>
      <sz val="10"/>
      <color rgb="FFFF0000"/>
      <name val="Times New Roman"/>
      <family val="1"/>
      <charset val="238"/>
    </font>
    <font>
      <vertAlign val="superscript"/>
      <sz val="10"/>
      <color rgb="FFFF0000"/>
      <name val="Times New Roman"/>
      <family val="1"/>
      <charset val="238"/>
    </font>
  </fonts>
  <fills count="3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4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6"/>
      </patternFill>
    </fill>
    <fill>
      <patternFill patternType="solid">
        <fgColor indexed="4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41"/>
      </patternFill>
    </fill>
    <fill>
      <patternFill patternType="solid">
        <fgColor indexed="55"/>
        <bgColor indexed="23"/>
      </patternFill>
    </fill>
    <fill>
      <patternFill patternType="solid">
        <fgColor indexed="22"/>
      </patternFill>
    </fill>
    <fill>
      <patternFill patternType="solid">
        <fgColor indexed="55"/>
      </patternFill>
    </fill>
    <fill>
      <patternFill patternType="solid">
        <fgColor indexed="43"/>
        <bgColor indexed="26"/>
      </patternFill>
    </fill>
    <fill>
      <patternFill patternType="solid">
        <fgColor indexed="26"/>
        <bgColor indexed="9"/>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ashed">
        <color indexed="64"/>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47">
    <xf numFmtId="0" fontId="0" fillId="0" borderId="0"/>
    <xf numFmtId="0" fontId="37"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37" fillId="0" borderId="0"/>
    <xf numFmtId="0" fontId="42"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37" fillId="0" borderId="0"/>
    <xf numFmtId="0" fontId="42" fillId="0" borderId="0"/>
    <xf numFmtId="0" fontId="37" fillId="0" borderId="0"/>
    <xf numFmtId="0" fontId="42" fillId="0" borderId="0"/>
    <xf numFmtId="0" fontId="37" fillId="0" borderId="0"/>
    <xf numFmtId="0" fontId="1" fillId="2" borderId="0" applyNumberFormat="0" applyAlignment="0" applyProtection="0"/>
    <xf numFmtId="0" fontId="1" fillId="3" borderId="0" applyNumberFormat="0" applyAlignment="0" applyProtection="0"/>
    <xf numFmtId="0" fontId="1" fillId="4" borderId="0" applyNumberFormat="0" applyAlignment="0" applyProtection="0"/>
    <xf numFmtId="0" fontId="1" fillId="5" borderId="0" applyNumberFormat="0" applyAlignment="0" applyProtection="0"/>
    <xf numFmtId="0" fontId="1" fillId="6" borderId="0" applyNumberFormat="0" applyAlignment="0" applyProtection="0"/>
    <xf numFmtId="0" fontId="1" fillId="7" borderId="0" applyNumberFormat="0" applyAlignment="0" applyProtection="0"/>
    <xf numFmtId="0" fontId="1" fillId="9" borderId="0" applyNumberFormat="0" applyAlignment="0" applyProtection="0"/>
    <xf numFmtId="0" fontId="1" fillId="10" borderId="0" applyNumberFormat="0" applyAlignment="0" applyProtection="0"/>
    <xf numFmtId="0" fontId="1" fillId="11" borderId="0" applyNumberFormat="0" applyAlignment="0" applyProtection="0"/>
    <xf numFmtId="0" fontId="1" fillId="5" borderId="0" applyNumberFormat="0" applyAlignment="0" applyProtection="0"/>
    <xf numFmtId="0" fontId="1" fillId="9" borderId="0" applyNumberFormat="0" applyAlignment="0" applyProtection="0"/>
    <xf numFmtId="0" fontId="1" fillId="12" borderId="0" applyNumberFormat="0" applyAlignment="0" applyProtection="0"/>
    <xf numFmtId="0" fontId="3" fillId="13" borderId="0" applyNumberFormat="0" applyAlignment="0" applyProtection="0"/>
    <xf numFmtId="0" fontId="3" fillId="10" borderId="0" applyNumberFormat="0" applyAlignment="0" applyProtection="0"/>
    <xf numFmtId="0" fontId="3" fillId="11" borderId="0" applyNumberFormat="0" applyAlignment="0" applyProtection="0"/>
    <xf numFmtId="0" fontId="3" fillId="14" borderId="0" applyNumberFormat="0" applyAlignment="0" applyProtection="0"/>
    <xf numFmtId="0" fontId="3" fillId="15" borderId="0" applyNumberFormat="0" applyAlignment="0" applyProtection="0"/>
    <xf numFmtId="0" fontId="3" fillId="16" borderId="0" applyNumberFormat="0" applyAlignment="0" applyProtection="0"/>
    <xf numFmtId="0" fontId="3" fillId="19" borderId="0" applyNumberFormat="0" applyAlignment="0" applyProtection="0"/>
    <xf numFmtId="0" fontId="3" fillId="20" borderId="0" applyNumberFormat="0" applyAlignment="0" applyProtection="0"/>
    <xf numFmtId="0" fontId="3" fillId="21" borderId="0" applyNumberFormat="0" applyAlignment="0" applyProtection="0"/>
    <xf numFmtId="0" fontId="3" fillId="14" borderId="0" applyNumberFormat="0" applyAlignment="0" applyProtection="0"/>
    <xf numFmtId="0" fontId="3" fillId="15" borderId="0" applyNumberFormat="0" applyAlignment="0" applyProtection="0"/>
    <xf numFmtId="0" fontId="3" fillId="22" borderId="0" applyNumberFormat="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5" fillId="3" borderId="0" applyNumberFormat="0" applyAlignment="0" applyProtection="0"/>
    <xf numFmtId="0" fontId="6" fillId="27" borderId="1" applyNumberFormat="0" applyAlignment="0" applyProtection="0"/>
    <xf numFmtId="0" fontId="7" fillId="28" borderId="2" applyNumberFormat="0" applyAlignment="0" applyProtection="0"/>
    <xf numFmtId="165" fontId="38" fillId="0" borderId="0" applyFont="0" applyFill="0" applyBorder="0" applyAlignment="0" applyProtection="0"/>
    <xf numFmtId="164" fontId="8" fillId="0" borderId="0" applyFont="0" applyFill="0" applyAlignment="0" applyProtection="0"/>
    <xf numFmtId="166" fontId="38" fillId="0" borderId="0" applyFont="0" applyFill="0" applyBorder="0" applyAlignment="0" applyProtection="0"/>
    <xf numFmtId="167" fontId="38" fillId="0" borderId="0" applyFont="0" applyFill="0" applyBorder="0" applyAlignment="0" applyProtection="0"/>
    <xf numFmtId="0" fontId="9" fillId="8" borderId="1" applyNumberFormat="0" applyAlignment="0" applyProtection="0"/>
    <xf numFmtId="0" fontId="10" fillId="29" borderId="3" applyNumberFormat="0" applyAlignment="0" applyProtection="0"/>
    <xf numFmtId="0" fontId="11" fillId="0" borderId="0" applyNumberFormat="0" applyFill="0" applyAlignment="0" applyProtection="0"/>
    <xf numFmtId="0" fontId="12" fillId="4" borderId="0"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Alignment="0" applyProtection="0"/>
    <xf numFmtId="0" fontId="16" fillId="7" borderId="1" applyNumberFormat="0" applyAlignment="0" applyProtection="0"/>
    <xf numFmtId="0" fontId="17" fillId="0" borderId="7" applyNumberFormat="0" applyFill="0" applyAlignment="0" applyProtection="0"/>
    <xf numFmtId="0" fontId="18" fillId="30" borderId="2" applyNumberFormat="0" applyAlignment="0" applyProtection="0"/>
    <xf numFmtId="0" fontId="19" fillId="0" borderId="7"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31" borderId="0" applyNumberFormat="0" applyAlignment="0" applyProtection="0"/>
    <xf numFmtId="0" fontId="39" fillId="0" borderId="0" applyNumberFormat="0" applyFont="0" applyFill="0" applyBorder="0" applyAlignment="0" applyProtection="0"/>
    <xf numFmtId="0" fontId="8" fillId="0" borderId="0"/>
    <xf numFmtId="0" fontId="37" fillId="0" borderId="0"/>
    <xf numFmtId="0" fontId="36" fillId="0" borderId="0"/>
    <xf numFmtId="0" fontId="8" fillId="0" borderId="0"/>
    <xf numFmtId="0" fontId="8" fillId="0" borderId="0"/>
    <xf numFmtId="0" fontId="8" fillId="0" borderId="0"/>
    <xf numFmtId="0" fontId="24" fillId="32" borderId="8" applyNumberFormat="0" applyFont="0" applyAlignment="0" applyProtection="0"/>
    <xf numFmtId="0" fontId="25" fillId="29" borderId="1" applyNumberFormat="0" applyAlignment="0" applyProtection="0"/>
    <xf numFmtId="0" fontId="39" fillId="0" borderId="9" applyNumberFormat="0" applyFont="0" applyFill="0" applyBorder="0" applyProtection="0">
      <alignment vertical="top" wrapText="1"/>
    </xf>
    <xf numFmtId="0" fontId="26" fillId="27" borderId="3" applyNumberFormat="0" applyAlignment="0" applyProtection="0"/>
    <xf numFmtId="0" fontId="37" fillId="0" borderId="0"/>
    <xf numFmtId="0" fontId="27" fillId="0" borderId="10"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Alignment="0" applyProtection="0"/>
    <xf numFmtId="0" fontId="31" fillId="0" borderId="10" applyNumberFormat="0" applyFill="0" applyAlignment="0" applyProtection="0"/>
    <xf numFmtId="0" fontId="32" fillId="0" borderId="0" applyNumberFormat="0" applyFill="0" applyBorder="0" applyAlignment="0" applyProtection="0"/>
    <xf numFmtId="0" fontId="2" fillId="33" borderId="8" applyNumberFormat="0" applyFont="0" applyAlignment="0" applyProtection="0"/>
    <xf numFmtId="0" fontId="33" fillId="0" borderId="0" applyNumberFormat="0" applyFill="0" applyAlignment="0" applyProtection="0"/>
  </cellStyleXfs>
  <cellXfs count="185">
    <xf numFmtId="0" fontId="0" fillId="0" borderId="0" xfId="0"/>
    <xf numFmtId="0" fontId="35" fillId="0" borderId="11" xfId="0" applyFont="1" applyBorder="1" applyAlignment="1">
      <alignment horizontal="center" vertical="center" wrapText="1"/>
    </xf>
    <xf numFmtId="0" fontId="35" fillId="0" borderId="11"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49" fontId="35" fillId="0" borderId="11" xfId="0" applyNumberFormat="1" applyFont="1" applyBorder="1" applyAlignment="1">
      <alignment vertical="center" wrapText="1"/>
    </xf>
    <xf numFmtId="4" fontId="35" fillId="0" borderId="11" xfId="0" applyNumberFormat="1" applyFont="1" applyBorder="1" applyAlignment="1">
      <alignment horizontal="center" vertical="center" wrapText="1"/>
    </xf>
    <xf numFmtId="49" fontId="34" fillId="0" borderId="11" xfId="0" applyNumberFormat="1" applyFont="1" applyBorder="1" applyAlignment="1">
      <alignment vertical="center" wrapText="1"/>
    </xf>
    <xf numFmtId="0" fontId="35" fillId="0" borderId="0" xfId="0" applyFont="1" applyAlignment="1">
      <alignment vertical="center" wrapText="1"/>
    </xf>
    <xf numFmtId="1" fontId="35" fillId="0" borderId="12" xfId="0" applyNumberFormat="1" applyFont="1" applyBorder="1" applyAlignment="1">
      <alignment horizontal="center" vertical="center" wrapText="1"/>
    </xf>
    <xf numFmtId="0" fontId="40" fillId="0" borderId="11" xfId="0" applyFont="1" applyBorder="1" applyAlignment="1">
      <alignment horizontal="center" vertical="center" wrapText="1"/>
    </xf>
    <xf numFmtId="4" fontId="40" fillId="0" borderId="11" xfId="0" applyNumberFormat="1" applyFont="1" applyBorder="1" applyAlignment="1">
      <alignment horizontal="center" vertical="center" wrapText="1"/>
    </xf>
    <xf numFmtId="49" fontId="34" fillId="34" borderId="11" xfId="130" applyNumberFormat="1" applyFont="1" applyFill="1" applyBorder="1" applyAlignment="1">
      <alignment horizontal="left" vertical="center" wrapText="1"/>
    </xf>
    <xf numFmtId="0" fontId="35" fillId="34" borderId="11" xfId="130" applyFont="1" applyFill="1" applyBorder="1" applyAlignment="1">
      <alignment horizontal="center" vertical="center" wrapText="1"/>
    </xf>
    <xf numFmtId="49" fontId="35" fillId="34" borderId="11" xfId="130" applyNumberFormat="1" applyFont="1" applyFill="1" applyBorder="1" applyAlignment="1">
      <alignment horizontal="left" vertical="center" wrapText="1"/>
    </xf>
    <xf numFmtId="0" fontId="35" fillId="34" borderId="0" xfId="130" applyFont="1" applyFill="1" applyAlignment="1">
      <alignment vertical="center" wrapText="1"/>
    </xf>
    <xf numFmtId="0" fontId="34" fillId="34" borderId="11" xfId="130" applyFont="1" applyFill="1" applyBorder="1" applyAlignment="1">
      <alignment horizontal="center" vertical="center" wrapText="1"/>
    </xf>
    <xf numFmtId="1" fontId="35" fillId="34" borderId="12" xfId="130" applyNumberFormat="1" applyFont="1" applyFill="1" applyBorder="1" applyAlignment="1">
      <alignment horizontal="center" vertical="center" wrapText="1"/>
    </xf>
    <xf numFmtId="1" fontId="35" fillId="34" borderId="0" xfId="130" applyNumberFormat="1" applyFont="1" applyFill="1" applyAlignment="1">
      <alignment horizontal="center" vertical="center" wrapText="1"/>
    </xf>
    <xf numFmtId="0" fontId="35" fillId="34" borderId="0" xfId="130" applyFont="1" applyFill="1" applyAlignment="1">
      <alignment horizontal="center" vertical="center" wrapText="1"/>
    </xf>
    <xf numFmtId="4" fontId="35" fillId="34" borderId="0" xfId="130" applyNumberFormat="1" applyFont="1" applyFill="1" applyAlignment="1">
      <alignment horizontal="center" vertical="center" wrapText="1"/>
    </xf>
    <xf numFmtId="0" fontId="35" fillId="34" borderId="0" xfId="130" applyFont="1" applyFill="1" applyAlignment="1">
      <alignment horizontal="center" vertical="center"/>
    </xf>
    <xf numFmtId="0" fontId="43" fillId="0" borderId="13" xfId="0" applyFont="1" applyBorder="1" applyAlignment="1">
      <alignment horizontal="center" vertical="center" wrapText="1"/>
    </xf>
    <xf numFmtId="1" fontId="34" fillId="0" borderId="12" xfId="0" applyNumberFormat="1" applyFont="1" applyBorder="1" applyAlignment="1">
      <alignment horizontal="center" vertical="center" wrapText="1"/>
    </xf>
    <xf numFmtId="0" fontId="35" fillId="0" borderId="0" xfId="131" applyFont="1" applyAlignment="1">
      <alignment vertical="center" wrapText="1"/>
    </xf>
    <xf numFmtId="49" fontId="43" fillId="0" borderId="13" xfId="0" applyNumberFormat="1" applyFont="1" applyBorder="1" applyAlignment="1">
      <alignment horizontal="center" vertical="center" wrapText="1"/>
    </xf>
    <xf numFmtId="0" fontId="44" fillId="0" borderId="0" xfId="0" applyFont="1" applyAlignment="1">
      <alignment vertical="center" wrapText="1"/>
    </xf>
    <xf numFmtId="0" fontId="43" fillId="0" borderId="11" xfId="0" applyFont="1" applyBorder="1" applyAlignment="1">
      <alignment horizontal="center" vertical="center" wrapText="1"/>
    </xf>
    <xf numFmtId="49" fontId="43" fillId="0" borderId="11" xfId="0" applyNumberFormat="1" applyFont="1" applyBorder="1" applyAlignment="1">
      <alignment horizontal="center" vertical="center" wrapText="1"/>
    </xf>
    <xf numFmtId="4" fontId="43" fillId="0" borderId="11" xfId="0" applyNumberFormat="1" applyFont="1" applyBorder="1" applyAlignment="1">
      <alignment horizontal="center" vertical="center" wrapText="1"/>
    </xf>
    <xf numFmtId="0" fontId="35" fillId="0" borderId="0" xfId="132" applyFont="1" applyAlignment="1">
      <alignment horizontal="left" vertical="center" wrapText="1"/>
    </xf>
    <xf numFmtId="0" fontId="35" fillId="0" borderId="0" xfId="0" applyFont="1" applyAlignment="1">
      <alignment horizontal="left" vertical="center" wrapText="1"/>
    </xf>
    <xf numFmtId="4" fontId="43" fillId="0" borderId="13" xfId="0" applyNumberFormat="1" applyFont="1" applyBorder="1" applyAlignment="1">
      <alignment horizontal="center" vertical="center" wrapText="1"/>
    </xf>
    <xf numFmtId="4" fontId="35" fillId="0" borderId="11" xfId="0" applyNumberFormat="1" applyFont="1" applyBorder="1" applyAlignment="1">
      <alignment horizontal="center" vertical="top" wrapText="1"/>
    </xf>
    <xf numFmtId="49" fontId="35" fillId="34" borderId="14" xfId="130" applyNumberFormat="1" applyFont="1" applyFill="1" applyBorder="1" applyAlignment="1">
      <alignment horizontal="left" vertical="center" wrapText="1"/>
    </xf>
    <xf numFmtId="4" fontId="35" fillId="0" borderId="0" xfId="0" applyNumberFormat="1" applyFont="1" applyAlignment="1">
      <alignment horizontal="center" vertical="center" wrapText="1"/>
    </xf>
    <xf numFmtId="4" fontId="35" fillId="0" borderId="0" xfId="130" applyNumberFormat="1" applyFont="1" applyAlignment="1">
      <alignment horizontal="center" vertical="center" wrapText="1"/>
    </xf>
    <xf numFmtId="1" fontId="34" fillId="0" borderId="12" xfId="130" applyNumberFormat="1" applyFont="1" applyBorder="1" applyAlignment="1">
      <alignment horizontal="center" vertical="center" wrapText="1"/>
    </xf>
    <xf numFmtId="0" fontId="34" fillId="0" borderId="11" xfId="130" applyFont="1" applyBorder="1" applyAlignment="1">
      <alignment horizontal="center" vertical="center" wrapText="1"/>
    </xf>
    <xf numFmtId="49" fontId="34" fillId="0" borderId="11" xfId="130" applyNumberFormat="1" applyFont="1" applyBorder="1" applyAlignment="1">
      <alignment horizontal="left" vertical="center" wrapText="1"/>
    </xf>
    <xf numFmtId="49" fontId="35" fillId="0" borderId="11" xfId="130" applyNumberFormat="1" applyFont="1" applyBorder="1" applyAlignment="1">
      <alignment horizontal="left" vertical="center" wrapText="1"/>
    </xf>
    <xf numFmtId="1" fontId="35" fillId="0" borderId="12" xfId="130" applyNumberFormat="1" applyFont="1" applyBorder="1" applyAlignment="1">
      <alignment horizontal="center" vertical="center" wrapText="1"/>
    </xf>
    <xf numFmtId="0" fontId="35" fillId="0" borderId="12" xfId="0" applyFont="1" applyBorder="1" applyAlignment="1">
      <alignment horizontal="center" vertical="center" wrapText="1"/>
    </xf>
    <xf numFmtId="0" fontId="48" fillId="0" borderId="11" xfId="0" applyFont="1" applyBorder="1" applyAlignment="1">
      <alignment horizontal="center" vertical="center" wrapText="1"/>
    </xf>
    <xf numFmtId="0" fontId="34" fillId="0" borderId="11" xfId="0" applyFont="1" applyBorder="1" applyAlignment="1">
      <alignment vertical="center" wrapText="1"/>
    </xf>
    <xf numFmtId="0" fontId="35" fillId="0" borderId="0" xfId="130" applyFont="1" applyAlignment="1">
      <alignment vertical="center" wrapText="1"/>
    </xf>
    <xf numFmtId="0" fontId="50" fillId="0" borderId="0" xfId="0" applyFont="1" applyAlignment="1">
      <alignment vertical="center"/>
    </xf>
    <xf numFmtId="0" fontId="34" fillId="0" borderId="15" xfId="133" applyFont="1" applyBorder="1" applyAlignment="1">
      <alignment horizontal="center" vertical="center" wrapText="1"/>
    </xf>
    <xf numFmtId="1" fontId="34" fillId="37" borderId="12" xfId="130" applyNumberFormat="1" applyFont="1" applyFill="1" applyBorder="1" applyAlignment="1">
      <alignment horizontal="center" vertical="center" wrapText="1"/>
    </xf>
    <xf numFmtId="0" fontId="34" fillId="37" borderId="11" xfId="130" applyFont="1" applyFill="1" applyBorder="1" applyAlignment="1">
      <alignment horizontal="center" vertical="center" wrapText="1"/>
    </xf>
    <xf numFmtId="49" fontId="34" fillId="37" borderId="11" xfId="130" applyNumberFormat="1" applyFont="1" applyFill="1" applyBorder="1" applyAlignment="1">
      <alignment horizontal="left" vertical="center" wrapText="1"/>
    </xf>
    <xf numFmtId="0" fontId="40" fillId="37" borderId="11" xfId="0" applyFont="1" applyFill="1" applyBorder="1" applyAlignment="1">
      <alignment horizontal="center" vertical="center" wrapText="1"/>
    </xf>
    <xf numFmtId="4" fontId="40" fillId="37" borderId="11" xfId="0" applyNumberFormat="1" applyFont="1" applyFill="1" applyBorder="1" applyAlignment="1">
      <alignment horizontal="center" vertical="center" wrapText="1"/>
    </xf>
    <xf numFmtId="0" fontId="49" fillId="0" borderId="0" xfId="0" quotePrefix="1" applyFont="1" applyAlignment="1">
      <alignment horizontal="center" vertical="center" wrapText="1"/>
    </xf>
    <xf numFmtId="0" fontId="49" fillId="0" borderId="0" xfId="0" applyFont="1" applyAlignment="1">
      <alignment horizontal="left" vertical="center" wrapText="1"/>
    </xf>
    <xf numFmtId="0" fontId="53" fillId="0" borderId="0" xfId="0" applyFont="1"/>
    <xf numFmtId="4" fontId="35" fillId="0" borderId="14" xfId="0" applyNumberFormat="1" applyFont="1" applyBorder="1" applyAlignment="1">
      <alignment horizontal="center" vertical="center" wrapText="1"/>
    </xf>
    <xf numFmtId="0" fontId="34" fillId="34" borderId="14" xfId="130" applyFont="1" applyFill="1" applyBorder="1" applyAlignment="1">
      <alignment horizontal="center" vertical="center" wrapText="1"/>
    </xf>
    <xf numFmtId="0" fontId="35" fillId="34" borderId="14" xfId="130" applyFont="1" applyFill="1" applyBorder="1" applyAlignment="1">
      <alignment horizontal="center" vertical="center" wrapText="1"/>
    </xf>
    <xf numFmtId="0" fontId="35" fillId="0" borderId="14" xfId="0" applyFont="1" applyBorder="1" applyAlignment="1">
      <alignment horizontal="center" vertical="center" wrapText="1"/>
    </xf>
    <xf numFmtId="169" fontId="35" fillId="0" borderId="11" xfId="0" applyNumberFormat="1" applyFont="1" applyBorder="1" applyAlignment="1">
      <alignment horizontal="center" vertical="center" wrapText="1"/>
    </xf>
    <xf numFmtId="1" fontId="35" fillId="0" borderId="16" xfId="0" applyNumberFormat="1" applyFont="1" applyBorder="1" applyAlignment="1">
      <alignment horizontal="center" vertical="center" wrapText="1"/>
    </xf>
    <xf numFmtId="0" fontId="52" fillId="0" borderId="0" xfId="0" applyFont="1"/>
    <xf numFmtId="0" fontId="34" fillId="0" borderId="16" xfId="133" applyFont="1" applyBorder="1" applyAlignment="1">
      <alignment horizontal="center" vertical="center" wrapText="1"/>
    </xf>
    <xf numFmtId="0" fontId="34" fillId="0" borderId="17" xfId="133" applyFont="1" applyBorder="1" applyAlignment="1">
      <alignment horizontal="center" vertical="center" wrapText="1"/>
    </xf>
    <xf numFmtId="0" fontId="52" fillId="0" borderId="0" xfId="0" applyFont="1" applyAlignment="1">
      <alignment horizontal="right"/>
    </xf>
    <xf numFmtId="0" fontId="35" fillId="0" borderId="11" xfId="130" applyFont="1" applyBorder="1" applyAlignment="1">
      <alignment horizontal="center" vertical="center" wrapText="1"/>
    </xf>
    <xf numFmtId="4" fontId="35" fillId="0" borderId="11" xfId="0" applyNumberFormat="1" applyFont="1" applyBorder="1" applyAlignment="1">
      <alignment horizontal="center" vertical="center"/>
    </xf>
    <xf numFmtId="49" fontId="35" fillId="0" borderId="14" xfId="0" applyNumberFormat="1" applyFont="1" applyBorder="1" applyAlignment="1">
      <alignment vertical="center" wrapText="1"/>
    </xf>
    <xf numFmtId="49" fontId="35" fillId="0" borderId="14" xfId="130" applyNumberFormat="1" applyFont="1" applyBorder="1" applyAlignment="1">
      <alignment horizontal="left" vertical="center" wrapText="1"/>
    </xf>
    <xf numFmtId="0" fontId="47" fillId="0" borderId="0" xfId="0" applyFont="1" applyAlignment="1">
      <alignment vertical="center" wrapText="1"/>
    </xf>
    <xf numFmtId="4" fontId="52" fillId="0" borderId="0" xfId="0" applyNumberFormat="1" applyFont="1" applyAlignment="1">
      <alignment horizontal="center" vertical="center" wrapText="1"/>
    </xf>
    <xf numFmtId="0" fontId="52" fillId="0" borderId="0" xfId="0" applyFont="1" applyAlignment="1">
      <alignment wrapText="1"/>
    </xf>
    <xf numFmtId="4" fontId="62" fillId="0" borderId="0" xfId="0" applyNumberFormat="1" applyFont="1" applyAlignment="1">
      <alignment horizontal="left" vertical="center" wrapText="1"/>
    </xf>
    <xf numFmtId="0" fontId="63" fillId="0" borderId="0" xfId="0" applyFont="1" applyAlignment="1">
      <alignment vertical="center" wrapText="1"/>
    </xf>
    <xf numFmtId="4" fontId="62" fillId="34" borderId="0" xfId="130" applyNumberFormat="1" applyFont="1" applyFill="1" applyAlignment="1">
      <alignment horizontal="center" vertical="center" wrapText="1"/>
    </xf>
    <xf numFmtId="0" fontId="53" fillId="0" borderId="0" xfId="0" applyFont="1" applyAlignment="1">
      <alignment horizontal="center" vertical="center"/>
    </xf>
    <xf numFmtId="0" fontId="59" fillId="0" borderId="0" xfId="0" applyFont="1" applyAlignment="1">
      <alignment vertical="center" wrapText="1"/>
    </xf>
    <xf numFmtId="0" fontId="35" fillId="0" borderId="11" xfId="0" applyFont="1" applyBorder="1" applyAlignment="1">
      <alignment horizontal="center" vertical="center"/>
    </xf>
    <xf numFmtId="0" fontId="63" fillId="0" borderId="0" xfId="0" applyFont="1"/>
    <xf numFmtId="49" fontId="64" fillId="34" borderId="0" xfId="130" applyNumberFormat="1" applyFont="1" applyFill="1" applyAlignment="1">
      <alignment horizontal="left" vertical="center" wrapText="1"/>
    </xf>
    <xf numFmtId="0" fontId="62" fillId="0" borderId="0" xfId="0" applyFont="1" applyAlignment="1">
      <alignment vertical="center" wrapText="1"/>
    </xf>
    <xf numFmtId="2" fontId="62" fillId="0" borderId="0" xfId="0" applyNumberFormat="1" applyFont="1" applyAlignment="1">
      <alignment vertical="center" wrapText="1"/>
    </xf>
    <xf numFmtId="0" fontId="62" fillId="0" borderId="0" xfId="130" applyFont="1" applyAlignment="1">
      <alignment vertical="center" wrapText="1"/>
    </xf>
    <xf numFmtId="0" fontId="62" fillId="35" borderId="0" xfId="130" applyFont="1" applyFill="1" applyAlignment="1">
      <alignment vertical="center" wrapText="1"/>
    </xf>
    <xf numFmtId="0" fontId="62" fillId="34" borderId="0" xfId="130" applyFont="1" applyFill="1" applyAlignment="1">
      <alignment vertical="center" wrapText="1"/>
    </xf>
    <xf numFmtId="0" fontId="62" fillId="0" borderId="0" xfId="131" applyFont="1" applyAlignment="1">
      <alignment vertical="center" wrapText="1"/>
    </xf>
    <xf numFmtId="0" fontId="48" fillId="0" borderId="11" xfId="0" applyFont="1" applyBorder="1" applyAlignment="1">
      <alignment horizontal="center" vertical="center"/>
    </xf>
    <xf numFmtId="2" fontId="48" fillId="0" borderId="11" xfId="0" applyNumberFormat="1" applyFont="1" applyBorder="1" applyAlignment="1">
      <alignment horizontal="center" vertical="center"/>
    </xf>
    <xf numFmtId="4" fontId="43" fillId="0" borderId="18" xfId="0" applyNumberFormat="1" applyFont="1" applyBorder="1" applyAlignment="1">
      <alignment horizontal="center" vertical="center" wrapText="1"/>
    </xf>
    <xf numFmtId="4" fontId="43" fillId="0" borderId="19" xfId="0" applyNumberFormat="1" applyFont="1" applyBorder="1" applyAlignment="1">
      <alignment horizontal="center" vertical="center" wrapText="1"/>
    </xf>
    <xf numFmtId="1" fontId="43" fillId="0" borderId="19" xfId="0" applyNumberFormat="1" applyFont="1" applyBorder="1" applyAlignment="1">
      <alignment horizontal="center" vertical="center" wrapText="1"/>
    </xf>
    <xf numFmtId="4" fontId="40" fillId="37" borderId="19" xfId="0" applyNumberFormat="1" applyFont="1" applyFill="1" applyBorder="1" applyAlignment="1">
      <alignment horizontal="center" vertical="center" wrapText="1"/>
    </xf>
    <xf numFmtId="4" fontId="35" fillId="0" borderId="19" xfId="0" applyNumberFormat="1" applyFont="1" applyBorder="1" applyAlignment="1">
      <alignment horizontal="right" vertical="center"/>
    </xf>
    <xf numFmtId="4" fontId="48" fillId="0" borderId="19" xfId="0" applyNumberFormat="1" applyFont="1" applyBorder="1" applyAlignment="1">
      <alignment horizontal="center" vertical="center"/>
    </xf>
    <xf numFmtId="4" fontId="34" fillId="0" borderId="19" xfId="0" applyNumberFormat="1" applyFont="1" applyBorder="1" applyAlignment="1">
      <alignment horizontal="right" vertical="center" wrapText="1"/>
    </xf>
    <xf numFmtId="4" fontId="40" fillId="0" borderId="19" xfId="0" applyNumberFormat="1" applyFont="1" applyBorder="1" applyAlignment="1">
      <alignment horizontal="center" vertical="center" wrapText="1"/>
    </xf>
    <xf numFmtId="4" fontId="35" fillId="0" borderId="19" xfId="130" applyNumberFormat="1" applyFont="1" applyBorder="1" applyAlignment="1">
      <alignment horizontal="right" vertical="center" wrapText="1"/>
    </xf>
    <xf numFmtId="4" fontId="35" fillId="0" borderId="20" xfId="0" applyNumberFormat="1" applyFont="1" applyBorder="1" applyAlignment="1">
      <alignment horizontal="right" vertical="center" wrapText="1"/>
    </xf>
    <xf numFmtId="4" fontId="35" fillId="0" borderId="19" xfId="0" applyNumberFormat="1" applyFont="1" applyBorder="1" applyAlignment="1">
      <alignment horizontal="right" vertical="center" wrapText="1"/>
    </xf>
    <xf numFmtId="4" fontId="35" fillId="0" borderId="19" xfId="0" applyNumberFormat="1" applyFont="1" applyBorder="1" applyAlignment="1">
      <alignment horizontal="center" vertical="top" wrapText="1"/>
    </xf>
    <xf numFmtId="4" fontId="34" fillId="0" borderId="19" xfId="130" applyNumberFormat="1" applyFont="1" applyBorder="1" applyAlignment="1">
      <alignment horizontal="right" vertical="center" wrapText="1"/>
    </xf>
    <xf numFmtId="4" fontId="51" fillId="0" borderId="21" xfId="0" applyNumberFormat="1" applyFont="1" applyBorder="1" applyAlignment="1">
      <alignment horizontal="right" vertical="center" wrapText="1"/>
    </xf>
    <xf numFmtId="4" fontId="54" fillId="0" borderId="19" xfId="0" applyNumberFormat="1" applyFont="1" applyBorder="1" applyAlignment="1">
      <alignment horizontal="right" vertical="center" wrapText="1"/>
    </xf>
    <xf numFmtId="4" fontId="51" fillId="0" borderId="22" xfId="131" applyNumberFormat="1" applyFont="1" applyBorder="1" applyAlignment="1">
      <alignment horizontal="right" vertical="center" wrapText="1"/>
    </xf>
    <xf numFmtId="0" fontId="65" fillId="0" borderId="0" xfId="0" quotePrefix="1" applyFont="1" applyAlignment="1">
      <alignment horizontal="center" vertical="center" wrapText="1"/>
    </xf>
    <xf numFmtId="0" fontId="65" fillId="0" borderId="0" xfId="0" applyFont="1" applyAlignment="1">
      <alignment horizontal="left" vertical="center" wrapText="1"/>
    </xf>
    <xf numFmtId="0" fontId="66" fillId="0" borderId="0" xfId="0" applyFont="1" applyAlignment="1">
      <alignment vertical="center" wrapText="1"/>
    </xf>
    <xf numFmtId="168" fontId="63" fillId="0" borderId="0" xfId="0" applyNumberFormat="1" applyFont="1" applyAlignment="1">
      <alignment vertical="center" wrapText="1"/>
    </xf>
    <xf numFmtId="1" fontId="62" fillId="34" borderId="0" xfId="130" applyNumberFormat="1" applyFont="1" applyFill="1" applyAlignment="1">
      <alignment horizontal="center" vertical="center" wrapText="1"/>
    </xf>
    <xf numFmtId="0" fontId="62" fillId="34" borderId="0" xfId="130" applyFont="1" applyFill="1" applyAlignment="1">
      <alignment horizontal="center" vertical="center" wrapText="1"/>
    </xf>
    <xf numFmtId="49" fontId="62" fillId="34" borderId="0" xfId="130" applyNumberFormat="1" applyFont="1" applyFill="1" applyAlignment="1">
      <alignment horizontal="left" vertical="center" wrapText="1"/>
    </xf>
    <xf numFmtId="0" fontId="62" fillId="34" borderId="0" xfId="130" applyFont="1" applyFill="1" applyAlignment="1">
      <alignment horizontal="center" vertical="center"/>
    </xf>
    <xf numFmtId="4" fontId="62" fillId="0" borderId="0" xfId="130" applyNumberFormat="1" applyFont="1" applyAlignment="1">
      <alignment horizontal="center" vertical="center" wrapText="1"/>
    </xf>
    <xf numFmtId="0" fontId="35" fillId="35" borderId="0" xfId="130" applyFont="1" applyFill="1" applyAlignment="1">
      <alignment vertical="center" wrapText="1"/>
    </xf>
    <xf numFmtId="2" fontId="35" fillId="0" borderId="0" xfId="0" applyNumberFormat="1" applyFont="1" applyAlignment="1">
      <alignment vertical="center" wrapText="1"/>
    </xf>
    <xf numFmtId="0" fontId="40" fillId="37" borderId="11" xfId="0" applyFont="1" applyFill="1" applyBorder="1" applyAlignment="1">
      <alignment horizontal="center" vertical="center"/>
    </xf>
    <xf numFmtId="4" fontId="40" fillId="37" borderId="11" xfId="0" applyNumberFormat="1" applyFont="1" applyFill="1" applyBorder="1" applyAlignment="1">
      <alignment horizontal="center" vertical="center"/>
    </xf>
    <xf numFmtId="4" fontId="40" fillId="37" borderId="23" xfId="0" applyNumberFormat="1" applyFont="1" applyFill="1" applyBorder="1" applyAlignment="1">
      <alignment horizontal="center" vertical="center"/>
    </xf>
    <xf numFmtId="4" fontId="35" fillId="35" borderId="0" xfId="130" applyNumberFormat="1" applyFont="1" applyFill="1" applyAlignment="1">
      <alignment horizontal="left" vertical="center" wrapText="1"/>
    </xf>
    <xf numFmtId="2" fontId="35" fillId="35" borderId="0" xfId="130" applyNumberFormat="1" applyFont="1" applyFill="1" applyAlignment="1">
      <alignment vertical="center" wrapText="1"/>
    </xf>
    <xf numFmtId="4" fontId="40" fillId="0" borderId="23" xfId="0" applyNumberFormat="1" applyFont="1" applyBorder="1" applyAlignment="1">
      <alignment horizontal="center" vertical="center" wrapText="1"/>
    </xf>
    <xf numFmtId="3" fontId="35" fillId="0" borderId="11" xfId="0" applyNumberFormat="1" applyFont="1" applyBorder="1" applyAlignment="1">
      <alignment horizontal="center" vertical="center" wrapText="1"/>
    </xf>
    <xf numFmtId="4" fontId="35" fillId="0" borderId="23" xfId="0" applyNumberFormat="1" applyFont="1" applyBorder="1" applyAlignment="1">
      <alignment horizontal="right" vertical="center" wrapText="1"/>
    </xf>
    <xf numFmtId="4" fontId="34" fillId="0" borderId="23" xfId="0" applyNumberFormat="1" applyFont="1" applyBorder="1" applyAlignment="1">
      <alignment horizontal="right" vertical="center" wrapText="1"/>
    </xf>
    <xf numFmtId="0" fontId="40" fillId="0" borderId="11" xfId="0" applyFont="1" applyBorder="1" applyAlignment="1">
      <alignment horizontal="center" vertical="center"/>
    </xf>
    <xf numFmtId="4" fontId="40" fillId="0" borderId="11" xfId="0" applyNumberFormat="1" applyFont="1" applyBorder="1" applyAlignment="1">
      <alignment horizontal="center" vertical="center"/>
    </xf>
    <xf numFmtId="4" fontId="40" fillId="0" borderId="23" xfId="0" applyNumberFormat="1" applyFont="1" applyBorder="1" applyAlignment="1">
      <alignment horizontal="center" vertical="center"/>
    </xf>
    <xf numFmtId="4" fontId="35" fillId="0" borderId="0" xfId="130" applyNumberFormat="1" applyFont="1" applyAlignment="1">
      <alignment horizontal="left" vertical="center" wrapText="1"/>
    </xf>
    <xf numFmtId="2" fontId="35" fillId="0" borderId="0" xfId="130" applyNumberFormat="1" applyFont="1" applyAlignment="1">
      <alignment vertical="center" wrapText="1"/>
    </xf>
    <xf numFmtId="4" fontId="35" fillId="0" borderId="23" xfId="0" applyNumberFormat="1" applyFont="1" applyBorder="1" applyAlignment="1">
      <alignment horizontal="center" vertical="top" wrapText="1"/>
    </xf>
    <xf numFmtId="4" fontId="35" fillId="0" borderId="23" xfId="130" applyNumberFormat="1" applyFont="1" applyBorder="1" applyAlignment="1">
      <alignment horizontal="right" vertical="center" wrapText="1"/>
    </xf>
    <xf numFmtId="49" fontId="35" fillId="36" borderId="11" xfId="130" applyNumberFormat="1" applyFont="1" applyFill="1" applyBorder="1" applyAlignment="1">
      <alignment horizontal="left" vertical="center" wrapText="1"/>
    </xf>
    <xf numFmtId="2" fontId="35" fillId="34" borderId="0" xfId="130" applyNumberFormat="1" applyFont="1" applyFill="1" applyAlignment="1">
      <alignment vertical="center" wrapText="1"/>
    </xf>
    <xf numFmtId="4" fontId="52" fillId="0" borderId="0" xfId="0" applyNumberFormat="1" applyFont="1"/>
    <xf numFmtId="0" fontId="62" fillId="0" borderId="0" xfId="0" applyFont="1" applyAlignment="1">
      <alignment horizontal="left" vertical="center" wrapText="1"/>
    </xf>
    <xf numFmtId="0" fontId="52" fillId="0" borderId="0" xfId="0" applyFont="1" applyAlignment="1">
      <alignment horizontal="center" vertical="center"/>
    </xf>
    <xf numFmtId="4" fontId="53" fillId="0" borderId="0" xfId="0" applyNumberFormat="1" applyFont="1"/>
    <xf numFmtId="1" fontId="34" fillId="37" borderId="12" xfId="0" applyNumberFormat="1" applyFont="1" applyFill="1" applyBorder="1" applyAlignment="1">
      <alignment horizontal="center" vertical="center" wrapText="1"/>
    </xf>
    <xf numFmtId="4" fontId="40" fillId="37" borderId="23" xfId="0" applyNumberFormat="1" applyFont="1" applyFill="1" applyBorder="1" applyAlignment="1">
      <alignment horizontal="center" vertical="center" wrapText="1"/>
    </xf>
    <xf numFmtId="0" fontId="35" fillId="35" borderId="0" xfId="130" applyFont="1" applyFill="1" applyAlignment="1">
      <alignment horizontal="left" vertical="center" wrapText="1"/>
    </xf>
    <xf numFmtId="1" fontId="34" fillId="0" borderId="11" xfId="0" applyNumberFormat="1" applyFont="1" applyBorder="1" applyAlignment="1">
      <alignment horizontal="left" vertical="center" wrapText="1"/>
    </xf>
    <xf numFmtId="1" fontId="35" fillId="0" borderId="11" xfId="0" applyNumberFormat="1" applyFont="1" applyBorder="1" applyAlignment="1">
      <alignment horizontal="left" vertical="center" wrapText="1"/>
    </xf>
    <xf numFmtId="0" fontId="62" fillId="0" borderId="11" xfId="0" applyFont="1" applyBorder="1" applyAlignment="1">
      <alignment horizontal="center" vertical="center" wrapText="1"/>
    </xf>
    <xf numFmtId="0" fontId="67" fillId="0" borderId="11" xfId="0" applyFont="1" applyBorder="1" applyAlignment="1">
      <alignment horizontal="center" vertical="center" wrapText="1"/>
    </xf>
    <xf numFmtId="4" fontId="68" fillId="37" borderId="11" xfId="0" applyNumberFormat="1" applyFont="1" applyFill="1" applyBorder="1" applyAlignment="1">
      <alignment horizontal="center" vertical="center" wrapText="1"/>
    </xf>
    <xf numFmtId="4" fontId="68" fillId="0" borderId="11" xfId="0" applyNumberFormat="1" applyFont="1" applyBorder="1" applyAlignment="1">
      <alignment horizontal="center" vertical="center" wrapText="1"/>
    </xf>
    <xf numFmtId="4" fontId="62" fillId="0" borderId="0" xfId="0" applyNumberFormat="1" applyFont="1" applyAlignment="1">
      <alignment horizontal="center" vertical="center" wrapText="1"/>
    </xf>
    <xf numFmtId="2" fontId="69" fillId="0" borderId="11" xfId="0" applyNumberFormat="1" applyFont="1" applyBorder="1" applyAlignment="1">
      <alignment horizontal="center" vertical="center"/>
    </xf>
    <xf numFmtId="4" fontId="62" fillId="0" borderId="11" xfId="0" applyNumberFormat="1" applyFont="1" applyBorder="1" applyAlignment="1">
      <alignment horizontal="center" vertical="top" wrapText="1"/>
    </xf>
    <xf numFmtId="0" fontId="35" fillId="34" borderId="0" xfId="130" applyFont="1" applyFill="1" applyAlignment="1">
      <alignment horizontal="left" vertical="center" wrapText="1"/>
    </xf>
    <xf numFmtId="2" fontId="35" fillId="0" borderId="11" xfId="0" applyNumberFormat="1" applyFont="1" applyBorder="1" applyAlignment="1">
      <alignment horizontal="center" vertical="center" wrapText="1"/>
    </xf>
    <xf numFmtId="0" fontId="62" fillId="34" borderId="11" xfId="130" applyFont="1" applyFill="1" applyBorder="1" applyAlignment="1">
      <alignment horizontal="center" vertical="center" wrapText="1"/>
    </xf>
    <xf numFmtId="4" fontId="35" fillId="0" borderId="14" xfId="0" applyNumberFormat="1" applyFont="1" applyBorder="1" applyAlignment="1">
      <alignment horizontal="center" vertical="center"/>
    </xf>
    <xf numFmtId="4" fontId="0" fillId="0" borderId="0" xfId="0" applyNumberFormat="1"/>
    <xf numFmtId="0" fontId="55" fillId="0" borderId="0" xfId="0" applyFont="1" applyAlignment="1">
      <alignment horizontal="center" vertical="center"/>
    </xf>
    <xf numFmtId="0" fontId="53" fillId="0" borderId="0" xfId="0" applyFont="1" applyAlignment="1">
      <alignment horizontal="center" vertical="center" wrapText="1"/>
    </xf>
    <xf numFmtId="0" fontId="57" fillId="0" borderId="0" xfId="0" applyFont="1" applyAlignment="1">
      <alignment horizontal="left" vertical="top" wrapText="1"/>
    </xf>
    <xf numFmtId="4" fontId="51" fillId="0" borderId="11" xfId="0" applyNumberFormat="1" applyFont="1" applyBorder="1" applyAlignment="1">
      <alignment horizontal="right" vertical="center" wrapText="1"/>
    </xf>
    <xf numFmtId="4" fontId="45" fillId="0" borderId="28" xfId="131" applyNumberFormat="1" applyFont="1" applyBorder="1" applyAlignment="1">
      <alignment horizontal="right" vertical="center" wrapText="1"/>
    </xf>
    <xf numFmtId="0" fontId="43" fillId="0" borderId="13" xfId="0" applyFont="1" applyBorder="1" applyAlignment="1">
      <alignment horizontal="center" vertical="center" wrapText="1"/>
    </xf>
    <xf numFmtId="0" fontId="41" fillId="0" borderId="11" xfId="0" applyFont="1" applyBorder="1" applyAlignment="1">
      <alignment horizontal="right" vertical="center"/>
    </xf>
    <xf numFmtId="0" fontId="41" fillId="0" borderId="11" xfId="0" applyFont="1" applyBorder="1" applyAlignment="1">
      <alignment horizontal="right" vertical="center" wrapText="1"/>
    </xf>
    <xf numFmtId="0" fontId="41" fillId="34" borderId="11" xfId="130" applyFont="1" applyFill="1" applyBorder="1" applyAlignment="1">
      <alignment horizontal="right" vertical="center" wrapText="1"/>
    </xf>
    <xf numFmtId="0" fontId="35" fillId="34" borderId="11" xfId="130" applyFont="1" applyFill="1" applyBorder="1" applyAlignment="1">
      <alignment horizontal="right" vertical="center" wrapText="1"/>
    </xf>
    <xf numFmtId="1" fontId="46" fillId="34" borderId="0" xfId="130" applyNumberFormat="1" applyFont="1" applyFill="1" applyAlignment="1">
      <alignment horizontal="center" vertical="center" wrapText="1"/>
    </xf>
    <xf numFmtId="0" fontId="35" fillId="0" borderId="0" xfId="132" applyFont="1" applyAlignment="1">
      <alignment horizontal="left" vertical="center" wrapText="1"/>
    </xf>
    <xf numFmtId="0" fontId="35" fillId="0" borderId="0" xfId="0" applyFont="1" applyAlignment="1">
      <alignment horizontal="left" vertical="center" wrapText="1"/>
    </xf>
    <xf numFmtId="1" fontId="43" fillId="0" borderId="24" xfId="0" applyNumberFormat="1" applyFont="1" applyBorder="1" applyAlignment="1">
      <alignment horizontal="center" vertical="center" wrapText="1"/>
    </xf>
    <xf numFmtId="1" fontId="43" fillId="0" borderId="12" xfId="0" applyNumberFormat="1" applyFont="1" applyBorder="1" applyAlignment="1">
      <alignment horizontal="center" vertical="center" wrapText="1"/>
    </xf>
    <xf numFmtId="0" fontId="45" fillId="0" borderId="25" xfId="133" applyFont="1" applyBorder="1" applyAlignment="1">
      <alignment horizontal="right" vertical="center" wrapText="1"/>
    </xf>
    <xf numFmtId="0" fontId="41" fillId="0" borderId="25" xfId="133" applyFont="1" applyBorder="1" applyAlignment="1">
      <alignment horizontal="right" vertical="center" wrapText="1"/>
    </xf>
    <xf numFmtId="0" fontId="41" fillId="0" borderId="19" xfId="0" applyFont="1" applyBorder="1" applyAlignment="1">
      <alignment horizontal="right" vertical="center" wrapText="1"/>
    </xf>
    <xf numFmtId="0" fontId="41" fillId="0" borderId="26" xfId="0" applyFont="1" applyBorder="1" applyAlignment="1">
      <alignment horizontal="right" vertical="center" wrapText="1"/>
    </xf>
    <xf numFmtId="0" fontId="41" fillId="0" borderId="27" xfId="0" applyFont="1" applyBorder="1" applyAlignment="1">
      <alignment horizontal="right" vertical="center" wrapText="1"/>
    </xf>
    <xf numFmtId="44" fontId="62" fillId="0" borderId="11" xfId="0" applyNumberFormat="1" applyFont="1" applyBorder="1" applyAlignment="1" applyProtection="1">
      <alignment horizontal="center" vertical="center"/>
      <protection locked="0"/>
    </xf>
    <xf numFmtId="44" fontId="62" fillId="0" borderId="11" xfId="130" applyNumberFormat="1" applyFont="1" applyBorder="1" applyAlignment="1" applyProtection="1">
      <alignment horizontal="center" vertical="center" wrapText="1"/>
      <protection locked="0"/>
    </xf>
    <xf numFmtId="44" fontId="62" fillId="0" borderId="14" xfId="0" applyNumberFormat="1" applyFont="1" applyBorder="1" applyAlignment="1" applyProtection="1">
      <alignment horizontal="center" vertical="center" wrapText="1"/>
      <protection locked="0"/>
    </xf>
    <xf numFmtId="44" fontId="62" fillId="0" borderId="14" xfId="130" applyNumberFormat="1" applyFont="1" applyBorder="1" applyAlignment="1" applyProtection="1">
      <alignment horizontal="center" vertical="center" wrapText="1"/>
      <protection locked="0"/>
    </xf>
    <xf numFmtId="44" fontId="62" fillId="0" borderId="11" xfId="0" applyNumberFormat="1" applyFont="1" applyBorder="1" applyAlignment="1" applyProtection="1">
      <alignment horizontal="center" vertical="center" wrapText="1"/>
      <protection locked="0"/>
    </xf>
    <xf numFmtId="171" fontId="62" fillId="0" borderId="11" xfId="130" applyNumberFormat="1" applyFont="1" applyBorder="1" applyAlignment="1" applyProtection="1">
      <alignment horizontal="center" vertical="center" wrapText="1"/>
      <protection locked="0"/>
    </xf>
    <xf numFmtId="171" fontId="62" fillId="0" borderId="11" xfId="0" applyNumberFormat="1" applyFont="1" applyBorder="1" applyAlignment="1" applyProtection="1">
      <alignment horizontal="center" vertical="center"/>
      <protection locked="0"/>
    </xf>
    <xf numFmtId="171" fontId="62" fillId="0" borderId="14" xfId="0" applyNumberFormat="1" applyFont="1" applyBorder="1" applyAlignment="1" applyProtection="1">
      <alignment horizontal="center" vertical="center" wrapText="1"/>
      <protection locked="0"/>
    </xf>
    <xf numFmtId="171" fontId="62" fillId="0" borderId="14" xfId="130" applyNumberFormat="1" applyFont="1" applyBorder="1" applyAlignment="1" applyProtection="1">
      <alignment horizontal="center" vertical="center" wrapText="1"/>
      <protection locked="0"/>
    </xf>
    <xf numFmtId="171" fontId="62" fillId="0" borderId="11" xfId="0" applyNumberFormat="1" applyFont="1" applyBorder="1" applyAlignment="1" applyProtection="1">
      <alignment horizontal="center" vertical="center" wrapText="1"/>
      <protection locked="0"/>
    </xf>
  </cellXfs>
  <cellStyles count="147">
    <cellStyle name="_PERSONAL" xfId="1" xr:uid="{94936612-917D-42BE-BEB2-E0A99991779D}"/>
    <cellStyle name="_PERSONAL_1" xfId="2" xr:uid="{DEEA2B86-EF5C-4AEF-95D3-F24564762E6D}"/>
    <cellStyle name="_PERSONAL_1_A4 Inwest polskie IIpopr" xfId="3" xr:uid="{684CE4C3-CD8B-404F-B165-08893A3FF0DC}"/>
    <cellStyle name="_PERSONAL_1_A4 Inwest polskie IIpopr_PRZEDMIAR - szczegółowy" xfId="4" xr:uid="{1E51A7D0-4B45-4E68-B2F0-E3A66C537722}"/>
    <cellStyle name="_PERSONAL_1_A4 Inwest polskie IIpopr_PRZEDMIAR - zagreg." xfId="5" xr:uid="{4FAEF87B-9955-432B-BAD3-CCFB8BEE8347}"/>
    <cellStyle name="_PERSONAL_1_Boleslawiec rynk" xfId="6" xr:uid="{72B9431F-A198-40DC-AD90-57713706EB72}"/>
    <cellStyle name="_PERSONAL_1_Boleslawiec rynk_PRZEDMIAR - szczegółowy" xfId="7" xr:uid="{DBA76E91-BFCF-484F-92D9-978FD907DC65}"/>
    <cellStyle name="_PERSONAL_1_Boleslawiec rynk_PRZEDMIAR - zagreg." xfId="8" xr:uid="{C3E1D530-5D1A-4925-AD15-31B16B9CDD06}"/>
    <cellStyle name="_PERSONAL_1_Buczyna Inwest" xfId="9" xr:uid="{E9311891-2ECD-4D28-A5CD-B9828CFE14EF}"/>
    <cellStyle name="_PERSONAL_1_Buczyna Inwest_PRZEDMIAR - szczegółowy" xfId="10" xr:uid="{722C252A-49D8-4669-B7B7-2F0E52C79E65}"/>
    <cellStyle name="_PERSONAL_1_Buczyna Inwest_PRZEDMIAR - zagreg." xfId="11" xr:uid="{8A5F56CD-20CC-4804-9EAD-D539924EBDEC}"/>
    <cellStyle name="_PERSONAL_1_Inwest Belchatow 1" xfId="12" xr:uid="{8CA77DDD-41E2-40A0-8E67-7208AE67D73D}"/>
    <cellStyle name="_PERSONAL_1_Inwest Belchatow 1_PRZEDMIAR - szczegółowy" xfId="13" xr:uid="{BC5C7B4B-4FA5-468E-B6E3-B40915F4C6FE}"/>
    <cellStyle name="_PERSONAL_1_Inwest Belchatow 1_PRZEDMIAR - zagreg." xfId="14" xr:uid="{9B5C523F-2B99-4C46-A168-EAD7549BAD5D}"/>
    <cellStyle name="_PERSONAL_1_kladka Ruda" xfId="15" xr:uid="{804A6B9E-84D6-410F-A338-7E0B692F4E39}"/>
    <cellStyle name="_PERSONAL_1_kladka Ruda_PRZEDMIAR - szczegółowy" xfId="16" xr:uid="{ADA8379F-6ADD-45C7-95EC-A18CEC9222AB}"/>
    <cellStyle name="_PERSONAL_1_kladka Ruda_PRZEDMIAR - zagreg." xfId="17" xr:uid="{265A4B27-F6EB-4260-9CE7-40E34A0845FB}"/>
    <cellStyle name="_PERSONAL_1_kladka Slodowa" xfId="18" xr:uid="{FA87BA44-536A-4E3B-8564-6280403BB82D}"/>
    <cellStyle name="_PERSONAL_1_kladka Slodowa_PRZEDMIAR - szczegółowy" xfId="19" xr:uid="{12CAC283-D2FE-4F73-BD33-9B07091B28DD}"/>
    <cellStyle name="_PERSONAL_1_kladka Slodowa_PRZEDMIAR - zagreg." xfId="20" xr:uid="{B66AB291-9E1F-4157-B5CB-699CAE027769}"/>
    <cellStyle name="_PERSONAL_1_Legnica ofertowe II" xfId="21" xr:uid="{D0AFAE5B-7F03-40E0-B275-4614667F5808}"/>
    <cellStyle name="_PERSONAL_1_Legnica ofertowe II_PRZEDMIAR - szczegółowy" xfId="22" xr:uid="{9E6D4DAE-B129-4EE0-BC6D-E8C3C289A056}"/>
    <cellStyle name="_PERSONAL_1_Legnica ofertowe II_PRZEDMIAR - zagreg." xfId="23" xr:uid="{06AFD8B2-32E1-4ECA-A06C-0723C3AB1FE4}"/>
    <cellStyle name="_PERSONAL_1_Legnica rynkowe" xfId="24" xr:uid="{9936585C-3F6A-4A8B-8687-FE226BC4B1A9}"/>
    <cellStyle name="_PERSONAL_1_Legnica rynkowe_PRZEDMIAR - szczegółowy" xfId="25" xr:uid="{5ED8ABB5-465E-424A-93E2-36031CBD2524}"/>
    <cellStyle name="_PERSONAL_1_Legnica rynkowe_PRZEDMIAR - zagreg." xfId="26" xr:uid="{8AFAF158-E55B-4906-B4BE-187AFBA41967}"/>
    <cellStyle name="_PERSONAL_1_LegnicaII" xfId="27" xr:uid="{BC79CEFA-0790-4962-B350-870A73F254C1}"/>
    <cellStyle name="_PERSONAL_1_LegnicaII_PRZEDMIAR - szczegółowy" xfId="28" xr:uid="{6D199279-CFBF-4BFD-B58A-365DAB1B9AAF}"/>
    <cellStyle name="_PERSONAL_1_LegnicaII_PRZEDMIAR - zagreg." xfId="29" xr:uid="{271D5469-9040-44C9-885F-0253E63D1375}"/>
    <cellStyle name="_PERSONAL_1_Lubin 2 slepy" xfId="30" xr:uid="{7ABD6A18-2A6D-4073-BC00-8D9B13A8E447}"/>
    <cellStyle name="_PERSONAL_1_Lubin 2 slepy_PRZEDMIAR - szczegółowy" xfId="31" xr:uid="{78C62ED0-20B0-40D8-B20C-712D40155C11}"/>
    <cellStyle name="_PERSONAL_1_Lubin 2 slepy_PRZEDMIAR - zagreg." xfId="32" xr:uid="{4670D0EE-D425-40FD-87D0-D7341C42F587}"/>
    <cellStyle name="_PERSONAL_1_Makolno slepy" xfId="33" xr:uid="{8B2B6C16-64A1-4515-8428-C4DD35CC9627}"/>
    <cellStyle name="_PERSONAL_1_Makolno Slepy 3" xfId="34" xr:uid="{606DEBCE-43ED-449A-8571-9BF1011D66E0}"/>
    <cellStyle name="_PERSONAL_1_Makolno Slepy 3_PRZEDMIAR - szczegółowy" xfId="35" xr:uid="{81B48C12-6AD8-4856-B040-B2AB6B9322A6}"/>
    <cellStyle name="_PERSONAL_1_Makolno Slepy 3_PRZEDMIAR - zagreg." xfId="36" xr:uid="{4B924725-F9C1-40A6-A3C0-346538D3C2B6}"/>
    <cellStyle name="_PERSONAL_1_Makolno slepy_PRZEDMIAR - szczegółowy" xfId="37" xr:uid="{612EAABD-3578-42F0-85BA-27EC0A25A477}"/>
    <cellStyle name="_PERSONAL_1_Makolno slepy_PRZEDMIAR - zagreg." xfId="38" xr:uid="{2CD55ED7-93D0-4A41-9011-608E1B347A23}"/>
    <cellStyle name="_PERSONAL_1_Most Milenijny" xfId="39" xr:uid="{A82FB17C-DAA9-41E0-8EB6-3E8F52EF13AD}"/>
    <cellStyle name="_PERSONAL_1_Most Milenijny_PRZEDMIAR - szczegółowy" xfId="40" xr:uid="{D419D094-B120-48CB-A13C-884BF3FF9A67}"/>
    <cellStyle name="_PERSONAL_1_Most Milenijny_PRZEDMIAR - zagreg." xfId="41" xr:uid="{FBDBFDEA-7CAD-4821-BF23-AE69FB5ADC87}"/>
    <cellStyle name="_PERSONAL_1_mosty Warszawskie" xfId="42" xr:uid="{0379BCBA-378D-45B5-9E84-E0B2A1772AAB}"/>
    <cellStyle name="_PERSONAL_1_mosty Warszawskie_PRZEDMIAR - szczegółowy" xfId="43" xr:uid="{E2DE6019-E2F4-4C1C-8289-18D16C9DEEEB}"/>
    <cellStyle name="_PERSONAL_1_mosty Warszawskie_PRZEDMIAR - zagreg." xfId="44" xr:uid="{A86A948B-0479-42EC-B44A-7F916D0DD62B}"/>
    <cellStyle name="_PERSONAL_1_Mszczonow kladka popr" xfId="45" xr:uid="{43B904F3-1110-44E5-9DFF-D5CD2ECAA52B}"/>
    <cellStyle name="_PERSONAL_1_Mszczonow kladka popr_PRZEDMIAR - szczegółowy" xfId="46" xr:uid="{F6329473-124B-4E26-8577-E2219A818C7D}"/>
    <cellStyle name="_PERSONAL_1_Mszczonow kladka popr_PRZEDMIAR - zagreg." xfId="47" xr:uid="{34D3FACD-D2C4-4BE8-A717-4FFDC5050CB9}"/>
    <cellStyle name="_PERSONAL_1_Piensk graniczny" xfId="48" xr:uid="{29AC2A13-A846-4350-8BC1-C7EB63F26C47}"/>
    <cellStyle name="_PERSONAL_1_Piensk graniczny_PRZEDMIAR - szczegółowy" xfId="49" xr:uid="{EF4A64CA-E3CB-477F-8933-C5F0C3F266AB}"/>
    <cellStyle name="_PERSONAL_1_Piensk graniczny_PRZEDMIAR - zagreg." xfId="50" xr:uid="{1DAD0C19-F97C-461B-9EB9-F0F3E25CD670}"/>
    <cellStyle name="_PERSONAL_1_Polkowice 2 slepy" xfId="51" xr:uid="{7087ABB2-8E37-4974-B898-2E1F47B9AD1F}"/>
    <cellStyle name="_PERSONAL_1_Polkowice 2 slepy_PRZEDMIAR - szczegółowy" xfId="52" xr:uid="{5A3D9A3A-0BE5-4931-A302-DC10979A5D50}"/>
    <cellStyle name="_PERSONAL_1_Polkowice 2 slepy_PRZEDMIAR - zagreg." xfId="53" xr:uid="{99E9DFE1-BF13-40C1-A395-4107A3D40CA4}"/>
    <cellStyle name="_PERSONAL_1_PRZEDMIAR - szczegółowy" xfId="54" xr:uid="{9FF8EC7F-2138-4878-8ED4-C7591CE39CB9}"/>
    <cellStyle name="_PERSONAL_1_PRZEDMIAR - zagreg." xfId="55" xr:uid="{FA5B1F04-A06B-4EF4-BECF-2CF083912532}"/>
    <cellStyle name="_PERSONAL_1_Serock1" xfId="56" xr:uid="{5C37CE10-1ED3-4660-A884-1F3689B4C937}"/>
    <cellStyle name="_PERSONAL_1_Serock1_PRZEDMIAR - szczegółowy" xfId="57" xr:uid="{044AA838-8458-4C84-8C11-1572E7151217}"/>
    <cellStyle name="_PERSONAL_1_Serock1_PRZEDMIAR - zagreg." xfId="58" xr:uid="{1EE9BA25-11EC-4C98-8182-6DB9DAAB1DF9}"/>
    <cellStyle name="_PERSONAL_1_Serock12" xfId="59" xr:uid="{C2956EB7-A6C1-4E76-B7F3-9D4C99D5BEC4}"/>
    <cellStyle name="_PERSONAL_1_Serock12_PRZEDMIAR - szczegółowy" xfId="60" xr:uid="{08947846-09CD-44D5-9706-C557DD9532E1}"/>
    <cellStyle name="_PERSONAL_1_Serock12_PRZEDMIAR - zagreg." xfId="61" xr:uid="{22AA52A1-441D-49FE-93A3-9B88C312B159}"/>
    <cellStyle name="_PERSONAL_1_Swidnica inwest" xfId="62" xr:uid="{393E3480-4098-4562-AED5-9B1885413AD2}"/>
    <cellStyle name="_PERSONAL_1_Swidnica inwest_PRZEDMIAR - szczegółowy" xfId="63" xr:uid="{E82DDAB2-6040-477C-8867-1DD87E366BC0}"/>
    <cellStyle name="_PERSONAL_1_Swidnica inwest_PRZEDMIAR - zagreg." xfId="64" xr:uid="{624A5AA5-0978-437B-979E-D5E55906C60F}"/>
    <cellStyle name="_PERSONAL_1_Tarnowka Inwestorski" xfId="65" xr:uid="{A3E95312-D220-4755-AF8A-DFAC62225F1D}"/>
    <cellStyle name="_PERSONAL_1_Tarnowka Inwestorski_PRZEDMIAR - szczegółowy" xfId="66" xr:uid="{5F48D4B6-312B-4B2D-AE2A-393509F1B4C6}"/>
    <cellStyle name="_PERSONAL_1_Tarnowka Inwestorski_PRZEDMIAR - zagreg." xfId="67" xr:uid="{FA09423C-38C4-4A86-BE6B-EE21F92502B9}"/>
    <cellStyle name="_PERSONAL_1_Wd22 Inwest 2709" xfId="68" xr:uid="{F1C609C4-12FA-4291-A283-E902292F2265}"/>
    <cellStyle name="_PERSONAL_1_Wd22 Inwest 2709_PRZEDMIAR - szczegółowy" xfId="69" xr:uid="{DD5283DC-DAA0-436C-BFA3-368563D754A8}"/>
    <cellStyle name="_PERSONAL_1_Wd22 Inwest 2709_PRZEDMIAR - zagreg." xfId="70" xr:uid="{FCFC87D7-B9C5-4DC5-9EB5-00DEA940A706}"/>
    <cellStyle name="_PERSONAL_PRZEDMIAR - szczegółowy" xfId="71" xr:uid="{DA1A4B23-3336-4B0C-ACF2-A07D54D78C46}"/>
    <cellStyle name="_PERSONAL_PRZEDMIAR - zagreg." xfId="72" xr:uid="{C8B571DF-367C-4B22-8528-F7A1BB28126D}"/>
    <cellStyle name="20% - Accent1" xfId="73" xr:uid="{E2BCD53A-2C15-4F38-A977-6C01686E0F74}"/>
    <cellStyle name="20% - Accent2" xfId="74" xr:uid="{CE4AD634-6430-46D8-B86F-320215F27882}"/>
    <cellStyle name="20% - Accent3" xfId="75" xr:uid="{B72F074E-0C10-4D2E-B4EA-43FE51DA5947}"/>
    <cellStyle name="20% - Accent4" xfId="76" xr:uid="{06EDA850-1528-421C-82D2-A4B9DDB2F7F3}"/>
    <cellStyle name="20% - Accent5" xfId="77" xr:uid="{5FF954A0-391B-4AF6-BF50-5778CB3608F3}"/>
    <cellStyle name="20% - Accent6" xfId="78" xr:uid="{EDEBF703-F495-47F1-A5F0-DE31E1002C7E}"/>
    <cellStyle name="40% - Accent1" xfId="79" xr:uid="{2AD45798-B649-448F-84CD-0B5DC79318B8}"/>
    <cellStyle name="40% - Accent2" xfId="80" xr:uid="{C3F20714-73F0-4AD0-99E3-C9C8A4035E6B}"/>
    <cellStyle name="40% - Accent3" xfId="81" xr:uid="{9C9F8388-FADC-4A9A-8502-E3FD80A08E94}"/>
    <cellStyle name="40% - Accent4" xfId="82" xr:uid="{C3F26DB2-0DE1-42C1-80BD-87EF6ABE1EF7}"/>
    <cellStyle name="40% - Accent5" xfId="83" xr:uid="{CE215C82-79B6-4016-8D0B-12EF20A385C2}"/>
    <cellStyle name="40% - Accent6" xfId="84" xr:uid="{30C7F0CC-C5D6-4473-96A0-6F5F57DF4648}"/>
    <cellStyle name="60% - Accent1" xfId="85" xr:uid="{1EE56E63-AD57-4BBA-BF0A-507EB5D31432}"/>
    <cellStyle name="60% - Accent2" xfId="86" xr:uid="{25B1FD3F-5EDE-4E27-A362-BBE14FDE574D}"/>
    <cellStyle name="60% - Accent3" xfId="87" xr:uid="{F9C353AF-0163-4F63-86B2-360674A85FDF}"/>
    <cellStyle name="60% - Accent4" xfId="88" xr:uid="{B00345F6-E65A-470D-8F15-D8AFAFED264F}"/>
    <cellStyle name="60% - Accent5" xfId="89" xr:uid="{825F134C-58B0-427B-9985-1BE36B928809}"/>
    <cellStyle name="60% - Accent6" xfId="90" xr:uid="{4FC42D3F-2405-414F-9819-D6B0EFA188E4}"/>
    <cellStyle name="Accent1" xfId="91" xr:uid="{ADBE0DED-BA70-47B5-87FA-0CD6EDF18EA2}"/>
    <cellStyle name="Accent2" xfId="92" xr:uid="{B43CF726-219E-4E0C-840D-00E3FDA48E38}"/>
    <cellStyle name="Accent3" xfId="93" xr:uid="{F86BA614-5960-4C43-9B97-8966E7B867E2}"/>
    <cellStyle name="Accent4" xfId="94" xr:uid="{2C9CFAB5-C6EC-4B87-9FBB-C39575FDE09F}"/>
    <cellStyle name="Accent5" xfId="95" xr:uid="{112098D7-64CB-48CF-B317-0F2DC528AEC4}"/>
    <cellStyle name="Accent6" xfId="96" xr:uid="{D74548BA-B18B-4C1B-ACBD-46A3D227DCC7}"/>
    <cellStyle name="Akcent 1" xfId="97" builtinId="29" customBuiltin="1"/>
    <cellStyle name="Akcent 2" xfId="98" builtinId="33" customBuiltin="1"/>
    <cellStyle name="Akcent 3" xfId="99" builtinId="37" customBuiltin="1"/>
    <cellStyle name="Akcent 4" xfId="100" builtinId="41" customBuiltin="1"/>
    <cellStyle name="Akcent 5" xfId="101" builtinId="45" customBuiltin="1"/>
    <cellStyle name="Akcent 6" xfId="102" builtinId="49" customBuiltin="1"/>
    <cellStyle name="Bad" xfId="103" xr:uid="{3FD31253-1F97-4408-AE56-02F7CB3677EE}"/>
    <cellStyle name="Calculation" xfId="104" xr:uid="{8B74835A-C6BA-43A3-BD04-CD41D1ECA508}"/>
    <cellStyle name="Check Cell" xfId="105" xr:uid="{3EF301AF-8885-44D1-8728-FF4887585BE7}"/>
    <cellStyle name="Comma [0]_laroux" xfId="106" xr:uid="{51F27BAA-21D6-41AE-941A-D7C29E4CDE99}"/>
    <cellStyle name="Comma_KI-Wiraowa-Okcie" xfId="107" xr:uid="{FD291EC9-D369-4BA5-B997-566232A9DC80}"/>
    <cellStyle name="Currency [0]_laroux" xfId="108" xr:uid="{64F42629-7626-4BD4-B156-6E4F044632DC}"/>
    <cellStyle name="Currency_laroux" xfId="109" xr:uid="{37601A0A-3F8C-4147-964A-AA931D0673CA}"/>
    <cellStyle name="Dane wejściowe" xfId="110" builtinId="20" customBuiltin="1"/>
    <cellStyle name="Dane wyjściowe" xfId="111" builtinId="21" customBuiltin="1"/>
    <cellStyle name="Explanatory Text" xfId="112" xr:uid="{B4681F08-DF68-4C03-A5AB-D0499A3F7913}"/>
    <cellStyle name="Good" xfId="113" xr:uid="{902F1F26-0463-467B-855D-17C4758C979B}"/>
    <cellStyle name="Heading 1" xfId="114" xr:uid="{9C709558-5F24-40A1-9DBE-75AE59F0F96B}"/>
    <cellStyle name="Heading 2" xfId="115" xr:uid="{A152E107-50EC-49D7-9615-BB7B1475E023}"/>
    <cellStyle name="Heading 3" xfId="116" xr:uid="{DED1B88D-1634-4814-82A9-9D58A0209920}"/>
    <cellStyle name="Heading 4" xfId="117" xr:uid="{F43F8A70-11D2-461F-B6D0-F1FC26006F7D}"/>
    <cellStyle name="Input" xfId="118" xr:uid="{BEEF7C16-2946-44B9-BBA6-93BB88E7A1A8}"/>
    <cellStyle name="Komórka połączona" xfId="119" builtinId="24" customBuiltin="1"/>
    <cellStyle name="Komórka zaznaczona" xfId="120" builtinId="23" customBuiltin="1"/>
    <cellStyle name="Linked Cell" xfId="121" xr:uid="{A82BE40B-3126-4401-BF3F-1502A9849BAE}"/>
    <cellStyle name="Nagłówek 1" xfId="122" builtinId="16" customBuiltin="1"/>
    <cellStyle name="Nagłówek 2" xfId="123" builtinId="17" customBuiltin="1"/>
    <cellStyle name="Nagłówek 3" xfId="124" builtinId="18" customBuiltin="1"/>
    <cellStyle name="Nagłówek 4" xfId="125" builtinId="19" customBuiltin="1"/>
    <cellStyle name="Neutral" xfId="126" xr:uid="{154D4E56-D779-4FBD-AF30-74632C8840F3}"/>
    <cellStyle name="None" xfId="127" xr:uid="{43C50762-F6BA-4DF8-AF10-3A86F8B15034}"/>
    <cellStyle name="Normal_KI-Wiraowa-Okcie" xfId="128" xr:uid="{3394D5FD-6F17-438C-8DBA-F187970062F3}"/>
    <cellStyle name="normální_laroux" xfId="129" xr:uid="{A3BA3413-44CC-4672-86EE-FB5856EB98DF}"/>
    <cellStyle name="Normalny" xfId="0" builtinId="0"/>
    <cellStyle name="Normalny_Droga S5 - przedmiar drogowy wersja 30_09" xfId="130" xr:uid="{2232EADB-18A9-4836-95CD-4AD2C1A3387C}"/>
    <cellStyle name="Normalny_KOSZTORYS OFERTOWY - roboty elektryczne" xfId="131" xr:uid="{19C15457-E224-4327-8E97-9B78E42D0DEA}"/>
    <cellStyle name="Normalny_POL" xfId="132" xr:uid="{AC5489C7-69B0-4EF9-BD2F-86E53807FD7D}"/>
    <cellStyle name="Normalny_WC_PRZEDMIARY" xfId="133" xr:uid="{699AA686-06FE-4A5C-931B-DD23C8061F8B}"/>
    <cellStyle name="Note" xfId="134" xr:uid="{E1D1D89F-8AB6-4ED3-8B0D-6D3A59002FBC}"/>
    <cellStyle name="Obliczenia" xfId="135" builtinId="22" customBuiltin="1"/>
    <cellStyle name="Opis" xfId="136" xr:uid="{1EE86198-F335-4F5D-A741-2E4B6742FA84}"/>
    <cellStyle name="Output" xfId="137" xr:uid="{E3BECC9A-A83A-43A3-8819-C775E3A79B49}"/>
    <cellStyle name="Styl 1" xfId="138" xr:uid="{DA336099-2A49-47A3-B1E8-71B9DCB354E0}"/>
    <cellStyle name="Suma" xfId="139" builtinId="25" customBuiltin="1"/>
    <cellStyle name="Tekst objaśnienia" xfId="140" builtinId="53" customBuiltin="1"/>
    <cellStyle name="Tekst ostrzeżenia" xfId="141" builtinId="11" customBuiltin="1"/>
    <cellStyle name="Title" xfId="142" xr:uid="{C442AA2B-15C9-411F-9422-5333C741C655}"/>
    <cellStyle name="Total" xfId="143" xr:uid="{F84D1253-2DCA-44B2-A006-A644F703EC46}"/>
    <cellStyle name="Tytuł" xfId="144" builtinId="15" customBuiltin="1"/>
    <cellStyle name="Uwaga" xfId="145" builtinId="10" customBuiltin="1"/>
    <cellStyle name="Warning Text" xfId="146" xr:uid="{7B34A738-86E4-495E-8C1C-DB53C1D49EE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9F0C-A01B-4495-9B40-D0AAF8ED5A47}">
  <dimension ref="B1:D35"/>
  <sheetViews>
    <sheetView tabSelected="1" view="pageBreakPreview" zoomScaleNormal="100" zoomScaleSheetLayoutView="100" workbookViewId="0">
      <selection activeCell="D29" sqref="D29"/>
    </sheetView>
  </sheetViews>
  <sheetFormatPr defaultRowHeight="12.75"/>
  <cols>
    <col min="2" max="2" width="47.85546875" style="79" customWidth="1"/>
    <col min="3" max="3" width="13" customWidth="1"/>
    <col min="4" max="4" width="3.42578125" customWidth="1"/>
    <col min="5" max="5" width="10.42578125" customWidth="1"/>
  </cols>
  <sheetData>
    <row r="1" spans="2:4">
      <c r="B1" s="62"/>
      <c r="C1" s="79"/>
      <c r="D1" s="79"/>
    </row>
    <row r="2" spans="2:4" ht="18">
      <c r="B2" s="155" t="s">
        <v>176</v>
      </c>
      <c r="C2" s="155"/>
      <c r="D2" s="79"/>
    </row>
    <row r="3" spans="2:4">
      <c r="B3" s="62"/>
      <c r="C3" s="62"/>
      <c r="D3" s="79"/>
    </row>
    <row r="4" spans="2:4">
      <c r="B4" s="55" t="s">
        <v>64</v>
      </c>
      <c r="C4" s="62"/>
      <c r="D4" s="79"/>
    </row>
    <row r="5" spans="2:4">
      <c r="B5" s="62"/>
      <c r="C5" s="62"/>
      <c r="D5" s="79"/>
    </row>
    <row r="6" spans="2:4" ht="45" customHeight="1">
      <c r="B6" s="156" t="s">
        <v>88</v>
      </c>
      <c r="C6" s="156"/>
      <c r="D6" s="79"/>
    </row>
    <row r="7" spans="2:4">
      <c r="B7" s="62"/>
      <c r="C7" s="62"/>
      <c r="D7" s="62"/>
    </row>
    <row r="8" spans="2:4">
      <c r="B8" s="55" t="s">
        <v>73</v>
      </c>
      <c r="C8" s="62"/>
      <c r="D8" s="62"/>
    </row>
    <row r="9" spans="2:4" ht="195.75" customHeight="1">
      <c r="B9" s="157" t="s">
        <v>82</v>
      </c>
      <c r="C9" s="157"/>
      <c r="D9" s="157"/>
    </row>
    <row r="10" spans="2:4">
      <c r="B10" s="62"/>
      <c r="C10" s="79"/>
      <c r="D10" s="79"/>
    </row>
    <row r="11" spans="2:4">
      <c r="B11" s="55" t="s">
        <v>65</v>
      </c>
      <c r="C11" s="79"/>
      <c r="D11" s="79"/>
    </row>
    <row r="12" spans="2:4">
      <c r="B12" s="62"/>
      <c r="C12" s="79"/>
      <c r="D12" s="79"/>
    </row>
    <row r="13" spans="2:4" ht="25.5">
      <c r="B13" s="72" t="s">
        <v>83</v>
      </c>
      <c r="C13" s="79"/>
      <c r="D13" s="79"/>
    </row>
    <row r="14" spans="2:4">
      <c r="B14" s="62"/>
      <c r="C14" s="79"/>
      <c r="D14" s="79"/>
    </row>
    <row r="15" spans="2:4">
      <c r="B15" s="55" t="s">
        <v>66</v>
      </c>
      <c r="C15" s="79"/>
      <c r="D15" s="79"/>
    </row>
    <row r="16" spans="2:4" ht="9" customHeight="1">
      <c r="B16" s="62"/>
      <c r="C16" s="79"/>
      <c r="D16" s="79"/>
    </row>
    <row r="17" spans="2:4" ht="39" customHeight="1">
      <c r="B17" s="77" t="s">
        <v>80</v>
      </c>
      <c r="C17" s="79"/>
      <c r="D17" s="79"/>
    </row>
    <row r="18" spans="2:4" ht="9" customHeight="1">
      <c r="B18" s="62"/>
      <c r="C18" s="79"/>
      <c r="D18" s="79"/>
    </row>
    <row r="19" spans="2:4">
      <c r="B19" s="55" t="s">
        <v>68</v>
      </c>
      <c r="C19" s="79"/>
      <c r="D19" s="79"/>
    </row>
    <row r="20" spans="2:4" ht="9" customHeight="1">
      <c r="B20" s="62"/>
      <c r="C20" s="79"/>
      <c r="D20" s="79"/>
    </row>
    <row r="21" spans="2:4">
      <c r="B21" s="62" t="s">
        <v>67</v>
      </c>
      <c r="C21" s="79"/>
      <c r="D21" s="79"/>
    </row>
    <row r="22" spans="2:4">
      <c r="C22" s="79"/>
      <c r="D22" s="79"/>
    </row>
    <row r="23" spans="2:4">
      <c r="B23" s="55" t="s">
        <v>177</v>
      </c>
      <c r="C23" s="79"/>
      <c r="D23" s="79"/>
    </row>
    <row r="24" spans="2:4">
      <c r="B24" s="62" t="s">
        <v>89</v>
      </c>
      <c r="C24" s="134">
        <f>'Część 1'!H97</f>
        <v>0</v>
      </c>
      <c r="D24" s="136" t="s">
        <v>70</v>
      </c>
    </row>
    <row r="25" spans="2:4">
      <c r="B25" s="62" t="s">
        <v>90</v>
      </c>
      <c r="C25" s="134">
        <f>'Część 2'!H54</f>
        <v>0</v>
      </c>
      <c r="D25" s="136" t="s">
        <v>70</v>
      </c>
    </row>
    <row r="26" spans="2:4">
      <c r="B26" s="62" t="s">
        <v>91</v>
      </c>
      <c r="C26" s="134">
        <f>'Część 3'!H63</f>
        <v>0</v>
      </c>
      <c r="D26" s="136" t="s">
        <v>70</v>
      </c>
    </row>
    <row r="27" spans="2:4">
      <c r="B27" s="65" t="s">
        <v>178</v>
      </c>
      <c r="C27" s="137">
        <f>SUM(C24:C26)</f>
        <v>0</v>
      </c>
      <c r="D27" s="76" t="s">
        <v>70</v>
      </c>
    </row>
    <row r="28" spans="2:4">
      <c r="B28" s="65" t="s">
        <v>179</v>
      </c>
      <c r="C28" s="137">
        <f>ROUND(C27*0.23,2)</f>
        <v>0</v>
      </c>
      <c r="D28" s="76" t="s">
        <v>70</v>
      </c>
    </row>
    <row r="29" spans="2:4">
      <c r="B29" s="65" t="s">
        <v>180</v>
      </c>
      <c r="C29" s="137">
        <f>C27+C28</f>
        <v>0</v>
      </c>
      <c r="D29" s="76" t="s">
        <v>70</v>
      </c>
    </row>
    <row r="30" spans="2:4">
      <c r="B30" s="62"/>
      <c r="C30" s="79"/>
      <c r="D30" s="79"/>
    </row>
    <row r="31" spans="2:4">
      <c r="B31" s="76"/>
      <c r="C31" s="79"/>
      <c r="D31" s="79"/>
    </row>
    <row r="32" spans="2:4">
      <c r="B32" s="62"/>
    </row>
    <row r="35" spans="3:3">
      <c r="C35" s="154"/>
    </row>
  </sheetData>
  <sheetProtection sheet="1" objects="1" scenarios="1" selectLockedCells="1" selectUnlockedCells="1"/>
  <mergeCells count="3">
    <mergeCell ref="B2:C2"/>
    <mergeCell ref="B6:C6"/>
    <mergeCell ref="B9:D9"/>
  </mergeCells>
  <printOptions horizontalCentered="1"/>
  <pageMargins left="0.70866141732283472" right="0.31496062992125984"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1448-79B7-4F2B-A8CD-3E0141085380}">
  <dimension ref="A1:M107"/>
  <sheetViews>
    <sheetView view="pageBreakPreview" zoomScale="80" zoomScaleNormal="100" zoomScaleSheetLayoutView="80" workbookViewId="0">
      <selection activeCell="G95" activeCellId="48" sqref="G91 G8 G17 G19 G20 G21 G22 G23 G24 G25 G26 G27 G28 G30 G31 G32 G33 G37 G38 G39 G44 G45 G46 G48 G49 G50 G51 G52 G53 G55 G59 G61 G65 G69 G70 G71 G72 G74 G75 G77 G78 G82 G83 G84 G85 G86 G87 G89 G95"/>
    </sheetView>
  </sheetViews>
  <sheetFormatPr defaultRowHeight="12.75"/>
  <cols>
    <col min="1" max="1" width="2" style="45" customWidth="1"/>
    <col min="2" max="2" width="4.42578125" style="18" customWidth="1"/>
    <col min="3" max="3" width="12.42578125" style="19" customWidth="1"/>
    <col min="4" max="4" width="56.42578125" style="80" customWidth="1"/>
    <col min="5" max="5" width="7.42578125" style="21" customWidth="1"/>
    <col min="6" max="6" width="10.140625" style="75" customWidth="1"/>
    <col min="7" max="7" width="9.7109375" style="36" customWidth="1"/>
    <col min="8" max="8" width="13.7109375" style="20" customWidth="1"/>
    <col min="9" max="16384" width="9.140625" style="15"/>
  </cols>
  <sheetData>
    <row r="1" spans="1:10" ht="24.95" customHeight="1">
      <c r="B1" s="165" t="str">
        <f>'Strona tyt.'!B24</f>
        <v>Część 1 - chodnik przy ul. Studziennej.</v>
      </c>
      <c r="C1" s="165"/>
      <c r="D1" s="165"/>
      <c r="E1" s="165"/>
      <c r="F1" s="165"/>
      <c r="G1" s="165"/>
      <c r="H1" s="165"/>
    </row>
    <row r="2" spans="1:10" s="24" customFormat="1" ht="19.5" customHeight="1">
      <c r="B2" s="166" t="s">
        <v>19</v>
      </c>
      <c r="C2" s="167"/>
      <c r="D2" s="167"/>
      <c r="E2" s="167"/>
      <c r="F2" s="167"/>
      <c r="G2" s="167"/>
      <c r="H2" s="167"/>
    </row>
    <row r="3" spans="1:10" s="24" customFormat="1" ht="10.5" customHeight="1" thickBot="1">
      <c r="B3" s="30"/>
      <c r="C3" s="31"/>
      <c r="D3" s="31"/>
      <c r="E3" s="31"/>
      <c r="F3" s="73"/>
      <c r="G3" s="35"/>
      <c r="H3" s="35"/>
    </row>
    <row r="4" spans="1:10" s="26" customFormat="1" ht="20.100000000000001" customHeight="1">
      <c r="B4" s="168" t="s">
        <v>8</v>
      </c>
      <c r="C4" s="22" t="s">
        <v>9</v>
      </c>
      <c r="D4" s="25" t="s">
        <v>10</v>
      </c>
      <c r="E4" s="160" t="s">
        <v>11</v>
      </c>
      <c r="F4" s="160"/>
      <c r="G4" s="32" t="s">
        <v>32</v>
      </c>
      <c r="H4" s="89" t="s">
        <v>33</v>
      </c>
    </row>
    <row r="5" spans="1:10" s="26" customFormat="1" ht="27" customHeight="1">
      <c r="B5" s="169"/>
      <c r="C5" s="27" t="s">
        <v>36</v>
      </c>
      <c r="D5" s="28" t="s">
        <v>12</v>
      </c>
      <c r="E5" s="27" t="s">
        <v>13</v>
      </c>
      <c r="F5" s="29" t="s">
        <v>14</v>
      </c>
      <c r="G5" s="29" t="s">
        <v>35</v>
      </c>
      <c r="H5" s="90" t="s">
        <v>34</v>
      </c>
    </row>
    <row r="6" spans="1:10" s="8" customFormat="1" ht="20.100000000000001" customHeight="1">
      <c r="B6" s="4">
        <v>1</v>
      </c>
      <c r="C6" s="3">
        <v>2</v>
      </c>
      <c r="D6" s="3">
        <v>3</v>
      </c>
      <c r="E6" s="3">
        <v>4</v>
      </c>
      <c r="F6" s="3">
        <v>5</v>
      </c>
      <c r="G6" s="27">
        <v>6</v>
      </c>
      <c r="H6" s="91">
        <v>7</v>
      </c>
    </row>
    <row r="7" spans="1:10" s="114" customFormat="1" ht="20.100000000000001" customHeight="1">
      <c r="A7" s="45"/>
      <c r="B7" s="48" t="s">
        <v>4</v>
      </c>
      <c r="C7" s="49" t="s">
        <v>61</v>
      </c>
      <c r="D7" s="50" t="s">
        <v>48</v>
      </c>
      <c r="E7" s="51" t="s">
        <v>25</v>
      </c>
      <c r="F7" s="52" t="s">
        <v>25</v>
      </c>
      <c r="G7" s="52" t="s">
        <v>25</v>
      </c>
      <c r="H7" s="92" t="s">
        <v>25</v>
      </c>
    </row>
    <row r="8" spans="1:10" s="8" customFormat="1" ht="20.100000000000001" customHeight="1">
      <c r="B8" s="42">
        <v>1</v>
      </c>
      <c r="C8" s="3"/>
      <c r="D8" s="2" t="s">
        <v>50</v>
      </c>
      <c r="E8" s="1" t="s">
        <v>47</v>
      </c>
      <c r="F8" s="78">
        <v>1</v>
      </c>
      <c r="G8" s="181"/>
      <c r="H8" s="93">
        <f>ROUND(F8*G8,2)</f>
        <v>0</v>
      </c>
    </row>
    <row r="9" spans="1:10" s="8" customFormat="1" ht="20.100000000000001" customHeight="1">
      <c r="B9" s="42" t="s">
        <v>4</v>
      </c>
      <c r="C9" s="3"/>
      <c r="D9" s="2" t="s">
        <v>51</v>
      </c>
      <c r="E9" s="43" t="s">
        <v>25</v>
      </c>
      <c r="F9" s="87" t="s">
        <v>25</v>
      </c>
      <c r="G9" s="88" t="s">
        <v>25</v>
      </c>
      <c r="H9" s="94" t="s">
        <v>25</v>
      </c>
    </row>
    <row r="10" spans="1:10" s="8" customFormat="1" ht="20.100000000000001" customHeight="1">
      <c r="B10" s="42" t="s">
        <v>4</v>
      </c>
      <c r="C10" s="3"/>
      <c r="D10" s="2" t="s">
        <v>76</v>
      </c>
      <c r="E10" s="43" t="s">
        <v>25</v>
      </c>
      <c r="F10" s="87" t="s">
        <v>25</v>
      </c>
      <c r="G10" s="88" t="s">
        <v>25</v>
      </c>
      <c r="H10" s="94" t="s">
        <v>25</v>
      </c>
    </row>
    <row r="11" spans="1:10" s="8" customFormat="1" ht="20.100000000000001" customHeight="1">
      <c r="B11" s="42" t="s">
        <v>4</v>
      </c>
      <c r="C11" s="3"/>
      <c r="D11" s="2" t="s">
        <v>75</v>
      </c>
      <c r="E11" s="43" t="s">
        <v>25</v>
      </c>
      <c r="F11" s="87" t="s">
        <v>25</v>
      </c>
      <c r="G11" s="88" t="s">
        <v>25</v>
      </c>
      <c r="H11" s="94" t="s">
        <v>25</v>
      </c>
    </row>
    <row r="12" spans="1:10" s="8" customFormat="1" ht="20.100000000000001" customHeight="1">
      <c r="B12" s="42" t="s">
        <v>4</v>
      </c>
      <c r="C12" s="3"/>
      <c r="D12" s="2" t="s">
        <v>58</v>
      </c>
      <c r="E12" s="43" t="s">
        <v>25</v>
      </c>
      <c r="F12" s="87" t="s">
        <v>25</v>
      </c>
      <c r="G12" s="88" t="s">
        <v>25</v>
      </c>
      <c r="H12" s="94" t="s">
        <v>25</v>
      </c>
    </row>
    <row r="13" spans="1:10" s="8" customFormat="1" ht="20.100000000000001" customHeight="1">
      <c r="B13" s="42" t="s">
        <v>4</v>
      </c>
      <c r="C13" s="3"/>
      <c r="D13" s="2" t="s">
        <v>52</v>
      </c>
      <c r="E13" s="43" t="s">
        <v>25</v>
      </c>
      <c r="F13" s="87" t="s">
        <v>25</v>
      </c>
      <c r="G13" s="88" t="s">
        <v>25</v>
      </c>
      <c r="H13" s="94" t="s">
        <v>25</v>
      </c>
    </row>
    <row r="14" spans="1:10" s="8" customFormat="1" ht="20.100000000000001" customHeight="1">
      <c r="B14" s="23" t="s">
        <v>4</v>
      </c>
      <c r="C14" s="161" t="s">
        <v>49</v>
      </c>
      <c r="D14" s="161"/>
      <c r="E14" s="161"/>
      <c r="F14" s="161"/>
      <c r="G14" s="161"/>
      <c r="H14" s="95">
        <f>H8</f>
        <v>0</v>
      </c>
      <c r="J14" s="115"/>
    </row>
    <row r="15" spans="1:10" s="114" customFormat="1" ht="20.100000000000001" customHeight="1">
      <c r="A15" s="45"/>
      <c r="B15" s="48" t="s">
        <v>4</v>
      </c>
      <c r="C15" s="49" t="s">
        <v>24</v>
      </c>
      <c r="D15" s="50" t="s">
        <v>21</v>
      </c>
      <c r="E15" s="51" t="s">
        <v>25</v>
      </c>
      <c r="F15" s="52" t="s">
        <v>25</v>
      </c>
      <c r="G15" s="52" t="s">
        <v>25</v>
      </c>
      <c r="H15" s="92" t="s">
        <v>25</v>
      </c>
    </row>
    <row r="16" spans="1:10" s="8" customFormat="1" ht="19.5" customHeight="1">
      <c r="B16" s="23" t="s">
        <v>4</v>
      </c>
      <c r="C16" s="3" t="s">
        <v>20</v>
      </c>
      <c r="D16" s="7" t="s">
        <v>53</v>
      </c>
      <c r="E16" s="10" t="s">
        <v>25</v>
      </c>
      <c r="F16" s="10" t="s">
        <v>25</v>
      </c>
      <c r="G16" s="11" t="s">
        <v>25</v>
      </c>
      <c r="H16" s="96" t="s">
        <v>25</v>
      </c>
    </row>
    <row r="17" spans="1:13" ht="30" customHeight="1">
      <c r="B17" s="41">
        <f>B8+1</f>
        <v>2</v>
      </c>
      <c r="C17" s="66"/>
      <c r="D17" s="40" t="s">
        <v>84</v>
      </c>
      <c r="E17" s="66" t="s">
        <v>37</v>
      </c>
      <c r="F17" s="60">
        <f>(125+33+10)/1000</f>
        <v>0.16800000000000001</v>
      </c>
      <c r="G17" s="180"/>
      <c r="H17" s="97">
        <f>ROUND(F17*G17,2)</f>
        <v>0</v>
      </c>
    </row>
    <row r="18" spans="1:13" s="8" customFormat="1" ht="20.100000000000001" customHeight="1">
      <c r="B18" s="23" t="s">
        <v>4</v>
      </c>
      <c r="C18" s="3" t="s">
        <v>22</v>
      </c>
      <c r="D18" s="7" t="s">
        <v>54</v>
      </c>
      <c r="E18" s="10" t="s">
        <v>25</v>
      </c>
      <c r="F18" s="11" t="s">
        <v>25</v>
      </c>
      <c r="G18" s="11" t="s">
        <v>25</v>
      </c>
      <c r="H18" s="96" t="s">
        <v>25</v>
      </c>
    </row>
    <row r="19" spans="1:13" s="81" customFormat="1" ht="30" customHeight="1">
      <c r="A19" s="8"/>
      <c r="B19" s="61">
        <f>B17+1</f>
        <v>3</v>
      </c>
      <c r="C19" s="59"/>
      <c r="D19" s="68" t="s">
        <v>161</v>
      </c>
      <c r="E19" s="59" t="s">
        <v>0</v>
      </c>
      <c r="F19" s="56">
        <f>5+36</f>
        <v>41</v>
      </c>
      <c r="G19" s="182"/>
      <c r="H19" s="98">
        <f t="shared" ref="H19:H28" si="0">ROUND(F19*G19,2)</f>
        <v>0</v>
      </c>
    </row>
    <row r="20" spans="1:13" s="81" customFormat="1" ht="27" customHeight="1">
      <c r="A20" s="8"/>
      <c r="B20" s="61">
        <f t="shared" ref="B20:B28" si="1">B19+1</f>
        <v>4</v>
      </c>
      <c r="C20" s="59"/>
      <c r="D20" s="68" t="s">
        <v>92</v>
      </c>
      <c r="E20" s="59" t="s">
        <v>0</v>
      </c>
      <c r="F20" s="56">
        <f>18.5+280.7+6+13.2</f>
        <v>318.39999999999998</v>
      </c>
      <c r="G20" s="182"/>
      <c r="H20" s="98">
        <f t="shared" si="0"/>
        <v>0</v>
      </c>
    </row>
    <row r="21" spans="1:13" s="85" customFormat="1" ht="19.5" customHeight="1">
      <c r="A21" s="45"/>
      <c r="B21" s="61">
        <f t="shared" si="1"/>
        <v>5</v>
      </c>
      <c r="C21" s="57"/>
      <c r="D21" s="69" t="s">
        <v>74</v>
      </c>
      <c r="E21" s="58" t="s">
        <v>26</v>
      </c>
      <c r="F21" s="56">
        <f>8.3+38.8+133.3+7.2+12.4</f>
        <v>200</v>
      </c>
      <c r="G21" s="183"/>
      <c r="H21" s="98">
        <f t="shared" si="0"/>
        <v>0</v>
      </c>
    </row>
    <row r="22" spans="1:13" s="85" customFormat="1" ht="19.5" customHeight="1">
      <c r="A22" s="45"/>
      <c r="B22" s="61">
        <f t="shared" si="1"/>
        <v>6</v>
      </c>
      <c r="C22" s="57"/>
      <c r="D22" s="69" t="s">
        <v>77</v>
      </c>
      <c r="E22" s="58" t="s">
        <v>26</v>
      </c>
      <c r="F22" s="56">
        <f>8.8+32.6+67.3+77.8+16.4+16.8+10.7+5.5</f>
        <v>235.9</v>
      </c>
      <c r="G22" s="183"/>
      <c r="H22" s="98">
        <f t="shared" si="0"/>
        <v>0</v>
      </c>
    </row>
    <row r="23" spans="1:13" s="85" customFormat="1" ht="19.5" customHeight="1">
      <c r="A23" s="45"/>
      <c r="B23" s="61">
        <f t="shared" si="1"/>
        <v>7</v>
      </c>
      <c r="C23" s="57"/>
      <c r="D23" s="69" t="s">
        <v>93</v>
      </c>
      <c r="E23" s="58" t="s">
        <v>0</v>
      </c>
      <c r="F23" s="56">
        <f>13+F49</f>
        <v>21.5</v>
      </c>
      <c r="G23" s="183"/>
      <c r="H23" s="98">
        <f t="shared" si="0"/>
        <v>0</v>
      </c>
    </row>
    <row r="24" spans="1:13" s="85" customFormat="1" ht="29.25" customHeight="1">
      <c r="A24" s="45"/>
      <c r="B24" s="61">
        <f t="shared" si="1"/>
        <v>8</v>
      </c>
      <c r="C24" s="57"/>
      <c r="D24" s="69" t="s">
        <v>162</v>
      </c>
      <c r="E24" s="58" t="s">
        <v>0</v>
      </c>
      <c r="F24" s="56">
        <f>F23</f>
        <v>21.5</v>
      </c>
      <c r="G24" s="183"/>
      <c r="H24" s="98">
        <f t="shared" si="0"/>
        <v>0</v>
      </c>
    </row>
    <row r="25" spans="1:13" s="81" customFormat="1" ht="19.5" customHeight="1">
      <c r="A25" s="8"/>
      <c r="B25" s="61">
        <f t="shared" si="1"/>
        <v>9</v>
      </c>
      <c r="C25" s="1"/>
      <c r="D25" s="2" t="s">
        <v>94</v>
      </c>
      <c r="E25" s="1" t="s">
        <v>60</v>
      </c>
      <c r="F25" s="6">
        <f>(F20*0.05+F21*0.1+F22*0.03)*2.2+F23*0.1*2+F24*0.1*2</f>
        <v>103.1934</v>
      </c>
      <c r="G25" s="184"/>
      <c r="H25" s="98">
        <f t="shared" si="0"/>
        <v>0</v>
      </c>
    </row>
    <row r="26" spans="1:13" s="81" customFormat="1" ht="30" customHeight="1">
      <c r="A26" s="8"/>
      <c r="B26" s="61">
        <f t="shared" si="1"/>
        <v>10</v>
      </c>
      <c r="C26" s="1"/>
      <c r="D26" s="2" t="s">
        <v>95</v>
      </c>
      <c r="E26" s="1" t="s">
        <v>60</v>
      </c>
      <c r="F26" s="6">
        <f>F19*0.08*2.2</f>
        <v>7.2160000000000011</v>
      </c>
      <c r="G26" s="184"/>
      <c r="H26" s="98">
        <f t="shared" si="0"/>
        <v>0</v>
      </c>
    </row>
    <row r="27" spans="1:13" s="81" customFormat="1" ht="19.5" customHeight="1">
      <c r="A27" s="8"/>
      <c r="B27" s="61">
        <f t="shared" si="1"/>
        <v>11</v>
      </c>
      <c r="C27" s="1"/>
      <c r="D27" s="2" t="s">
        <v>147</v>
      </c>
      <c r="E27" s="1" t="s">
        <v>103</v>
      </c>
      <c r="F27" s="122">
        <v>1</v>
      </c>
      <c r="G27" s="184"/>
      <c r="H27" s="98">
        <f t="shared" si="0"/>
        <v>0</v>
      </c>
    </row>
    <row r="28" spans="1:13" s="81" customFormat="1" ht="45" customHeight="1">
      <c r="A28" s="8"/>
      <c r="B28" s="61">
        <f t="shared" si="1"/>
        <v>12</v>
      </c>
      <c r="C28" s="1"/>
      <c r="D28" s="2" t="s">
        <v>164</v>
      </c>
      <c r="E28" s="1" t="s">
        <v>26</v>
      </c>
      <c r="F28" s="6">
        <v>20</v>
      </c>
      <c r="G28" s="184"/>
      <c r="H28" s="98">
        <f t="shared" si="0"/>
        <v>0</v>
      </c>
    </row>
    <row r="29" spans="1:13" s="114" customFormat="1" ht="20.100000000000001" customHeight="1">
      <c r="A29" s="45"/>
      <c r="B29" s="37" t="s">
        <v>4</v>
      </c>
      <c r="C29" s="38" t="s">
        <v>160</v>
      </c>
      <c r="D29" s="39" t="s">
        <v>102</v>
      </c>
      <c r="E29" s="10" t="s">
        <v>25</v>
      </c>
      <c r="F29" s="11" t="s">
        <v>25</v>
      </c>
      <c r="G29" s="11" t="s">
        <v>25</v>
      </c>
      <c r="H29" s="121" t="s">
        <v>25</v>
      </c>
      <c r="I29" s="120"/>
      <c r="J29" s="120"/>
      <c r="K29" s="120"/>
      <c r="L29" s="120"/>
      <c r="M29" s="120"/>
    </row>
    <row r="30" spans="1:13" s="8" customFormat="1" ht="19.5" customHeight="1">
      <c r="B30" s="9">
        <f>B28+1</f>
        <v>13</v>
      </c>
      <c r="C30" s="3"/>
      <c r="D30" s="5" t="s">
        <v>104</v>
      </c>
      <c r="E30" s="1" t="s">
        <v>103</v>
      </c>
      <c r="F30" s="122">
        <v>2</v>
      </c>
      <c r="G30" s="184"/>
      <c r="H30" s="123">
        <f>F30*G30</f>
        <v>0</v>
      </c>
      <c r="I30" s="115"/>
      <c r="J30" s="115"/>
      <c r="K30" s="115"/>
      <c r="L30" s="115"/>
      <c r="M30" s="115"/>
    </row>
    <row r="31" spans="1:13" s="8" customFormat="1" ht="19.5" customHeight="1">
      <c r="B31" s="9">
        <f>B30+1</f>
        <v>14</v>
      </c>
      <c r="C31" s="3"/>
      <c r="D31" s="5" t="s">
        <v>166</v>
      </c>
      <c r="E31" s="1" t="s">
        <v>103</v>
      </c>
      <c r="F31" s="122">
        <v>2</v>
      </c>
      <c r="G31" s="184"/>
      <c r="H31" s="123">
        <f>F31*G31</f>
        <v>0</v>
      </c>
      <c r="I31" s="115"/>
      <c r="J31" s="115"/>
      <c r="K31" s="115"/>
      <c r="L31" s="115"/>
      <c r="M31" s="115"/>
    </row>
    <row r="32" spans="1:13" s="8" customFormat="1" ht="19.5" customHeight="1">
      <c r="B32" s="9">
        <f>B31+1</f>
        <v>15</v>
      </c>
      <c r="C32" s="3"/>
      <c r="D32" s="5" t="s">
        <v>106</v>
      </c>
      <c r="E32" s="1" t="s">
        <v>103</v>
      </c>
      <c r="F32" s="122">
        <v>1</v>
      </c>
      <c r="G32" s="184"/>
      <c r="H32" s="123">
        <f>F32*G32</f>
        <v>0</v>
      </c>
      <c r="I32" s="115"/>
      <c r="J32" s="115"/>
      <c r="K32" s="115"/>
      <c r="L32" s="115"/>
      <c r="M32" s="115"/>
    </row>
    <row r="33" spans="1:13" s="8" customFormat="1" ht="19.5" customHeight="1">
      <c r="B33" s="9">
        <f>B32+1</f>
        <v>16</v>
      </c>
      <c r="C33" s="1"/>
      <c r="D33" s="5" t="s">
        <v>165</v>
      </c>
      <c r="E33" s="1" t="s">
        <v>103</v>
      </c>
      <c r="F33" s="122">
        <v>2</v>
      </c>
      <c r="G33" s="184"/>
      <c r="H33" s="123">
        <f>F33*G33</f>
        <v>0</v>
      </c>
      <c r="I33" s="115"/>
      <c r="J33" s="115"/>
      <c r="K33" s="115"/>
      <c r="L33" s="115"/>
      <c r="M33" s="115"/>
    </row>
    <row r="34" spans="1:13" s="81" customFormat="1" ht="20.100000000000001" customHeight="1">
      <c r="A34" s="8"/>
      <c r="B34" s="23" t="s">
        <v>4</v>
      </c>
      <c r="C34" s="161" t="s">
        <v>31</v>
      </c>
      <c r="D34" s="161"/>
      <c r="E34" s="161"/>
      <c r="F34" s="161"/>
      <c r="G34" s="161"/>
      <c r="H34" s="95">
        <f>SUM(H17:H33)</f>
        <v>0</v>
      </c>
    </row>
    <row r="35" spans="1:13" s="84" customFormat="1" ht="20.100000000000001" customHeight="1">
      <c r="A35" s="45"/>
      <c r="B35" s="48" t="s">
        <v>4</v>
      </c>
      <c r="C35" s="49" t="s">
        <v>86</v>
      </c>
      <c r="D35" s="50" t="s">
        <v>40</v>
      </c>
      <c r="E35" s="51" t="s">
        <v>25</v>
      </c>
      <c r="F35" s="52" t="s">
        <v>25</v>
      </c>
      <c r="G35" s="52" t="s">
        <v>25</v>
      </c>
      <c r="H35" s="92" t="s">
        <v>25</v>
      </c>
    </row>
    <row r="36" spans="1:13" s="81" customFormat="1" ht="20.100000000000001" customHeight="1">
      <c r="A36" s="8"/>
      <c r="B36" s="23" t="s">
        <v>4</v>
      </c>
      <c r="C36" s="3" t="s">
        <v>41</v>
      </c>
      <c r="D36" s="7" t="s">
        <v>55</v>
      </c>
      <c r="E36" s="10" t="s">
        <v>25</v>
      </c>
      <c r="F36" s="11" t="s">
        <v>25</v>
      </c>
      <c r="G36" s="11" t="s">
        <v>25</v>
      </c>
      <c r="H36" s="96" t="s">
        <v>25</v>
      </c>
    </row>
    <row r="37" spans="1:13" s="85" customFormat="1" ht="38.25" customHeight="1">
      <c r="A37" s="45"/>
      <c r="B37" s="17">
        <f>B33+1</f>
        <v>17</v>
      </c>
      <c r="C37" s="13"/>
      <c r="D37" s="14" t="s">
        <v>120</v>
      </c>
      <c r="E37" s="13" t="s">
        <v>27</v>
      </c>
      <c r="F37" s="6">
        <f>(F59)*0.15+(F49)*1*1.5+F45*(1*1*1.5)</f>
        <v>85.29</v>
      </c>
      <c r="G37" s="184"/>
      <c r="H37" s="99">
        <f>ROUND(F37*G37,2)</f>
        <v>0</v>
      </c>
    </row>
    <row r="38" spans="1:13" s="85" customFormat="1" ht="19.5" customHeight="1">
      <c r="A38" s="45"/>
      <c r="B38" s="17">
        <f>B37+1</f>
        <v>18</v>
      </c>
      <c r="C38" s="13"/>
      <c r="D38" s="14" t="s">
        <v>62</v>
      </c>
      <c r="E38" s="13" t="s">
        <v>27</v>
      </c>
      <c r="F38" s="6">
        <f>F37</f>
        <v>85.29</v>
      </c>
      <c r="G38" s="184"/>
      <c r="H38" s="99">
        <f>ROUND(F38*G38,2)</f>
        <v>0</v>
      </c>
    </row>
    <row r="39" spans="1:13" s="85" customFormat="1" ht="19.5" customHeight="1">
      <c r="A39" s="45"/>
      <c r="B39" s="17">
        <f>B38+1</f>
        <v>19</v>
      </c>
      <c r="C39" s="13"/>
      <c r="D39" s="14" t="s">
        <v>163</v>
      </c>
      <c r="E39" s="13" t="s">
        <v>60</v>
      </c>
      <c r="F39" s="6">
        <f>(F37)*2</f>
        <v>170.58</v>
      </c>
      <c r="G39" s="184"/>
      <c r="H39" s="99">
        <f>ROUND(F39*G39,2)</f>
        <v>0</v>
      </c>
    </row>
    <row r="40" spans="1:13" s="8" customFormat="1" ht="20.100000000000001" customHeight="1">
      <c r="B40" s="23" t="s">
        <v>4</v>
      </c>
      <c r="C40" s="1"/>
      <c r="D40" s="162" t="s">
        <v>42</v>
      </c>
      <c r="E40" s="162"/>
      <c r="F40" s="162"/>
      <c r="G40" s="162"/>
      <c r="H40" s="95">
        <f>SUM(H37:H39)</f>
        <v>0</v>
      </c>
    </row>
    <row r="41" spans="1:13" s="114" customFormat="1" ht="17.25" customHeight="1">
      <c r="A41" s="45"/>
      <c r="B41" s="48" t="s">
        <v>4</v>
      </c>
      <c r="C41" s="49" t="s">
        <v>100</v>
      </c>
      <c r="D41" s="50" t="s">
        <v>101</v>
      </c>
      <c r="E41" s="116" t="s">
        <v>25</v>
      </c>
      <c r="F41" s="117" t="s">
        <v>25</v>
      </c>
      <c r="G41" s="117" t="s">
        <v>25</v>
      </c>
      <c r="H41" s="118" t="s">
        <v>25</v>
      </c>
      <c r="I41" s="119"/>
      <c r="J41" s="120"/>
      <c r="K41" s="120"/>
      <c r="L41" s="120"/>
      <c r="M41" s="120"/>
    </row>
    <row r="42" spans="1:13" s="45" customFormat="1" ht="17.25" customHeight="1">
      <c r="B42" s="37" t="s">
        <v>4</v>
      </c>
      <c r="C42" s="38" t="s">
        <v>107</v>
      </c>
      <c r="D42" s="39" t="s">
        <v>108</v>
      </c>
      <c r="E42" s="125" t="s">
        <v>25</v>
      </c>
      <c r="F42" s="126" t="s">
        <v>25</v>
      </c>
      <c r="G42" s="126" t="s">
        <v>25</v>
      </c>
      <c r="H42" s="127" t="s">
        <v>25</v>
      </c>
      <c r="I42" s="128"/>
      <c r="J42" s="129"/>
      <c r="K42" s="129"/>
      <c r="L42" s="129"/>
      <c r="M42" s="129"/>
    </row>
    <row r="43" spans="1:13" s="8" customFormat="1" ht="19.5" customHeight="1">
      <c r="B43" s="23" t="s">
        <v>4</v>
      </c>
      <c r="C43" s="1"/>
      <c r="D43" s="7" t="s">
        <v>109</v>
      </c>
      <c r="E43" s="33" t="s">
        <v>38</v>
      </c>
      <c r="F43" s="33" t="s">
        <v>38</v>
      </c>
      <c r="G43" s="33" t="s">
        <v>38</v>
      </c>
      <c r="H43" s="130" t="s">
        <v>38</v>
      </c>
      <c r="I43" s="115"/>
      <c r="J43" s="115"/>
      <c r="K43" s="115"/>
      <c r="L43" s="115"/>
      <c r="M43" s="115"/>
    </row>
    <row r="44" spans="1:13" s="8" customFormat="1" ht="30" customHeight="1">
      <c r="B44" s="9">
        <f>B39+1</f>
        <v>20</v>
      </c>
      <c r="C44" s="1"/>
      <c r="D44" s="5" t="s">
        <v>110</v>
      </c>
      <c r="E44" s="1" t="s">
        <v>27</v>
      </c>
      <c r="F44" s="6">
        <f>(0.7*0.7)*(F45)</f>
        <v>1.4699999999999998</v>
      </c>
      <c r="G44" s="184"/>
      <c r="H44" s="131">
        <f>F44*G44</f>
        <v>0</v>
      </c>
      <c r="I44" s="115"/>
      <c r="J44" s="115"/>
      <c r="K44" s="115"/>
      <c r="L44" s="115"/>
      <c r="M44" s="115"/>
    </row>
    <row r="45" spans="1:13" ht="30" customHeight="1">
      <c r="B45" s="9">
        <f>B44+1</f>
        <v>21</v>
      </c>
      <c r="C45" s="13"/>
      <c r="D45" s="132" t="s">
        <v>111</v>
      </c>
      <c r="E45" s="13" t="s">
        <v>103</v>
      </c>
      <c r="F45" s="1">
        <v>3</v>
      </c>
      <c r="G45" s="184"/>
      <c r="H45" s="131">
        <f>F45*G45</f>
        <v>0</v>
      </c>
      <c r="I45" s="133"/>
      <c r="J45" s="133"/>
      <c r="K45" s="133"/>
      <c r="L45" s="133"/>
      <c r="M45" s="133"/>
    </row>
    <row r="46" spans="1:13" ht="30" customHeight="1">
      <c r="B46" s="9">
        <f>B45+1</f>
        <v>22</v>
      </c>
      <c r="C46" s="13"/>
      <c r="D46" s="132" t="s">
        <v>112</v>
      </c>
      <c r="E46" s="13" t="s">
        <v>27</v>
      </c>
      <c r="F46" s="6">
        <f>1.5*(1.66*1.66-3.14*0.33^2)*(F45)</f>
        <v>10.861443</v>
      </c>
      <c r="G46" s="180"/>
      <c r="H46" s="131">
        <f>F46*G46</f>
        <v>0</v>
      </c>
      <c r="I46" s="133"/>
      <c r="J46" s="133"/>
      <c r="K46" s="133"/>
      <c r="L46" s="133"/>
      <c r="M46" s="133"/>
    </row>
    <row r="47" spans="1:13" s="8" customFormat="1" ht="19.5" customHeight="1">
      <c r="B47" s="23" t="s">
        <v>4</v>
      </c>
      <c r="C47" s="1"/>
      <c r="D47" s="7" t="s">
        <v>113</v>
      </c>
      <c r="E47" s="33" t="s">
        <v>38</v>
      </c>
      <c r="F47" s="33" t="s">
        <v>38</v>
      </c>
      <c r="G47" s="33" t="s">
        <v>38</v>
      </c>
      <c r="H47" s="130" t="s">
        <v>38</v>
      </c>
      <c r="I47" s="115"/>
      <c r="J47" s="115"/>
      <c r="K47" s="115"/>
      <c r="L47" s="115"/>
      <c r="M47" s="115"/>
    </row>
    <row r="48" spans="1:13" s="8" customFormat="1" ht="30" customHeight="1">
      <c r="B48" s="9">
        <f>B46+1</f>
        <v>23</v>
      </c>
      <c r="C48" s="1"/>
      <c r="D48" s="5" t="s">
        <v>114</v>
      </c>
      <c r="E48" s="1" t="s">
        <v>27</v>
      </c>
      <c r="F48" s="6">
        <f>0.5*F49*0.1</f>
        <v>0.42500000000000004</v>
      </c>
      <c r="G48" s="184"/>
      <c r="H48" s="131">
        <f t="shared" ref="H48:H53" si="2">F48*G48</f>
        <v>0</v>
      </c>
      <c r="I48" s="115"/>
      <c r="J48" s="115"/>
      <c r="K48" s="115"/>
      <c r="L48" s="115"/>
      <c r="M48" s="115"/>
    </row>
    <row r="49" spans="1:13" ht="30" customHeight="1">
      <c r="B49" s="9">
        <f>B48+1</f>
        <v>24</v>
      </c>
      <c r="C49" s="13"/>
      <c r="D49" s="132" t="s">
        <v>151</v>
      </c>
      <c r="E49" s="13" t="s">
        <v>26</v>
      </c>
      <c r="F49" s="6">
        <f>3.5+3.7+1.3</f>
        <v>8.5</v>
      </c>
      <c r="G49" s="184"/>
      <c r="H49" s="131">
        <f t="shared" si="2"/>
        <v>0</v>
      </c>
      <c r="I49" s="133"/>
      <c r="J49" s="133"/>
      <c r="K49" s="133"/>
      <c r="L49" s="133"/>
      <c r="M49" s="133"/>
    </row>
    <row r="50" spans="1:13" ht="42.75" customHeight="1">
      <c r="B50" s="17">
        <f>B49+1</f>
        <v>25</v>
      </c>
      <c r="C50" s="13"/>
      <c r="D50" s="132" t="s">
        <v>115</v>
      </c>
      <c r="E50" s="13" t="s">
        <v>27</v>
      </c>
      <c r="F50" s="6">
        <f>(0.5*0.7)*F49</f>
        <v>2.9749999999999996</v>
      </c>
      <c r="G50" s="180"/>
      <c r="H50" s="131">
        <f t="shared" si="2"/>
        <v>0</v>
      </c>
      <c r="I50" s="133"/>
      <c r="J50" s="133"/>
      <c r="K50" s="133"/>
      <c r="L50" s="133"/>
      <c r="M50" s="133"/>
    </row>
    <row r="51" spans="1:13" ht="57" customHeight="1">
      <c r="B51" s="17">
        <f>B50+1</f>
        <v>26</v>
      </c>
      <c r="C51" s="13"/>
      <c r="D51" s="132" t="s">
        <v>116</v>
      </c>
      <c r="E51" s="13" t="s">
        <v>27</v>
      </c>
      <c r="F51" s="6">
        <f>(0.5*0.5-0.02)*F49</f>
        <v>1.9550000000000001</v>
      </c>
      <c r="G51" s="180"/>
      <c r="H51" s="131">
        <f t="shared" si="2"/>
        <v>0</v>
      </c>
      <c r="I51" s="133"/>
      <c r="J51" s="133"/>
      <c r="K51" s="133"/>
      <c r="L51" s="133"/>
      <c r="M51" s="133"/>
    </row>
    <row r="52" spans="1:13" ht="30" customHeight="1">
      <c r="B52" s="17">
        <f>B51+1</f>
        <v>27</v>
      </c>
      <c r="C52" s="13"/>
      <c r="D52" s="132" t="s">
        <v>117</v>
      </c>
      <c r="E52" s="13" t="s">
        <v>27</v>
      </c>
      <c r="F52" s="6">
        <f>(0.5*0.3)*F49</f>
        <v>1.2749999999999999</v>
      </c>
      <c r="G52" s="180"/>
      <c r="H52" s="131">
        <f t="shared" si="2"/>
        <v>0</v>
      </c>
      <c r="I52" s="133"/>
      <c r="J52" s="133"/>
      <c r="K52" s="133"/>
      <c r="L52" s="133"/>
      <c r="M52" s="133"/>
    </row>
    <row r="53" spans="1:13" ht="30" customHeight="1">
      <c r="B53" s="17">
        <f>B52+1</f>
        <v>28</v>
      </c>
      <c r="C53" s="13"/>
      <c r="D53" s="132" t="s">
        <v>118</v>
      </c>
      <c r="E53" s="13" t="s">
        <v>26</v>
      </c>
      <c r="F53" s="6">
        <f>F49</f>
        <v>8.5</v>
      </c>
      <c r="G53" s="180"/>
      <c r="H53" s="131">
        <f t="shared" si="2"/>
        <v>0</v>
      </c>
      <c r="I53" s="133"/>
      <c r="J53" s="133"/>
      <c r="K53" s="133"/>
      <c r="L53" s="133"/>
      <c r="M53" s="133"/>
    </row>
    <row r="54" spans="1:13" s="114" customFormat="1" ht="20.100000000000001" customHeight="1">
      <c r="A54" s="45"/>
      <c r="B54" s="37" t="s">
        <v>4</v>
      </c>
      <c r="C54" s="38" t="s">
        <v>148</v>
      </c>
      <c r="D54" s="39" t="s">
        <v>149</v>
      </c>
      <c r="E54" s="10" t="s">
        <v>25</v>
      </c>
      <c r="F54" s="11" t="s">
        <v>25</v>
      </c>
      <c r="G54" s="11" t="s">
        <v>25</v>
      </c>
      <c r="H54" s="121" t="s">
        <v>25</v>
      </c>
      <c r="I54" s="120"/>
      <c r="J54" s="120"/>
      <c r="K54" s="120"/>
      <c r="L54" s="120"/>
      <c r="M54" s="120"/>
    </row>
    <row r="55" spans="1:13" s="8" customFormat="1" ht="19.5" customHeight="1">
      <c r="B55" s="9">
        <f>B53+1</f>
        <v>29</v>
      </c>
      <c r="C55" s="3"/>
      <c r="D55" s="5" t="s">
        <v>150</v>
      </c>
      <c r="E55" s="1" t="s">
        <v>47</v>
      </c>
      <c r="F55" s="122">
        <v>2</v>
      </c>
      <c r="G55" s="184"/>
      <c r="H55" s="123">
        <f>F55*G55</f>
        <v>0</v>
      </c>
      <c r="I55" s="115"/>
      <c r="J55" s="115"/>
      <c r="K55" s="115"/>
      <c r="L55" s="115"/>
      <c r="M55" s="115"/>
    </row>
    <row r="56" spans="1:13" s="8" customFormat="1" ht="18.75" customHeight="1">
      <c r="B56" s="9" t="s">
        <v>4</v>
      </c>
      <c r="C56" s="172" t="s">
        <v>105</v>
      </c>
      <c r="D56" s="173"/>
      <c r="E56" s="173"/>
      <c r="F56" s="173"/>
      <c r="G56" s="174"/>
      <c r="H56" s="124">
        <f>SUM(H44:H55)</f>
        <v>0</v>
      </c>
      <c r="I56" s="115"/>
      <c r="J56" s="115"/>
      <c r="K56" s="115"/>
      <c r="L56" s="115"/>
      <c r="M56" s="115"/>
    </row>
    <row r="57" spans="1:13" s="114" customFormat="1" ht="20.100000000000001" customHeight="1">
      <c r="A57" s="45"/>
      <c r="B57" s="48" t="s">
        <v>4</v>
      </c>
      <c r="C57" s="49" t="s">
        <v>5</v>
      </c>
      <c r="D57" s="50" t="s">
        <v>6</v>
      </c>
      <c r="E57" s="51" t="s">
        <v>25</v>
      </c>
      <c r="F57" s="52" t="s">
        <v>25</v>
      </c>
      <c r="G57" s="52" t="s">
        <v>25</v>
      </c>
      <c r="H57" s="92" t="s">
        <v>25</v>
      </c>
    </row>
    <row r="58" spans="1:13" s="8" customFormat="1" ht="20.100000000000001" customHeight="1">
      <c r="B58" s="23" t="s">
        <v>4</v>
      </c>
      <c r="C58" s="3" t="s">
        <v>7</v>
      </c>
      <c r="D58" s="7" t="s">
        <v>23</v>
      </c>
      <c r="E58" s="10" t="s">
        <v>25</v>
      </c>
      <c r="F58" s="11" t="s">
        <v>25</v>
      </c>
      <c r="G58" s="33" t="s">
        <v>38</v>
      </c>
      <c r="H58" s="100" t="s">
        <v>38</v>
      </c>
    </row>
    <row r="59" spans="1:13" s="85" customFormat="1" ht="30" customHeight="1">
      <c r="A59" s="45"/>
      <c r="B59" s="17">
        <f>B55+1</f>
        <v>30</v>
      </c>
      <c r="C59" s="38"/>
      <c r="D59" s="40" t="s">
        <v>140</v>
      </c>
      <c r="E59" s="66" t="s">
        <v>0</v>
      </c>
      <c r="F59" s="6">
        <f>16.5+89.5+30.4+258.7+27.9+30.6</f>
        <v>453.6</v>
      </c>
      <c r="G59" s="180"/>
      <c r="H59" s="97">
        <f>ROUND(F59*G59,2)</f>
        <v>0</v>
      </c>
    </row>
    <row r="60" spans="1:13" ht="21" customHeight="1">
      <c r="B60" s="9" t="s">
        <v>4</v>
      </c>
      <c r="C60" s="16" t="s">
        <v>87</v>
      </c>
      <c r="D60" s="12" t="s">
        <v>81</v>
      </c>
      <c r="E60" s="10" t="s">
        <v>25</v>
      </c>
      <c r="F60" s="11" t="s">
        <v>25</v>
      </c>
      <c r="G60" s="11" t="s">
        <v>25</v>
      </c>
      <c r="H60" s="96" t="s">
        <v>25</v>
      </c>
    </row>
    <row r="61" spans="1:13" s="85" customFormat="1" ht="30" customHeight="1">
      <c r="A61" s="45"/>
      <c r="B61" s="9">
        <f>B59+1</f>
        <v>31</v>
      </c>
      <c r="C61" s="16"/>
      <c r="D61" s="14" t="s">
        <v>121</v>
      </c>
      <c r="E61" s="13" t="s">
        <v>0</v>
      </c>
      <c r="F61" s="67">
        <f>F59</f>
        <v>453.6</v>
      </c>
      <c r="G61" s="181"/>
      <c r="H61" s="93">
        <f>ROUND(F61*G61,2)</f>
        <v>0</v>
      </c>
    </row>
    <row r="62" spans="1:13" ht="19.5" customHeight="1">
      <c r="B62" s="9" t="s">
        <v>4</v>
      </c>
      <c r="C62" s="163" t="s">
        <v>30</v>
      </c>
      <c r="D62" s="164"/>
      <c r="E62" s="164"/>
      <c r="F62" s="164"/>
      <c r="G62" s="164"/>
      <c r="H62" s="101">
        <f>SUM(H59:H61)</f>
        <v>0</v>
      </c>
    </row>
    <row r="63" spans="1:13" s="114" customFormat="1" ht="20.100000000000001" customHeight="1">
      <c r="A63" s="45"/>
      <c r="B63" s="48" t="s">
        <v>4</v>
      </c>
      <c r="C63" s="49" t="s">
        <v>1</v>
      </c>
      <c r="D63" s="50" t="s">
        <v>2</v>
      </c>
      <c r="E63" s="51" t="s">
        <v>25</v>
      </c>
      <c r="F63" s="52" t="s">
        <v>25</v>
      </c>
      <c r="G63" s="52" t="s">
        <v>25</v>
      </c>
      <c r="H63" s="92" t="s">
        <v>25</v>
      </c>
    </row>
    <row r="64" spans="1:13" s="8" customFormat="1" ht="20.100000000000001" customHeight="1">
      <c r="B64" s="23" t="s">
        <v>4</v>
      </c>
      <c r="C64" s="3" t="s">
        <v>3</v>
      </c>
      <c r="D64" s="7" t="s">
        <v>56</v>
      </c>
      <c r="E64" s="10" t="s">
        <v>25</v>
      </c>
      <c r="F64" s="11" t="s">
        <v>25</v>
      </c>
      <c r="G64" s="11" t="s">
        <v>25</v>
      </c>
      <c r="H64" s="96" t="s">
        <v>25</v>
      </c>
    </row>
    <row r="65" spans="1:13" s="85" customFormat="1" ht="30" customHeight="1">
      <c r="A65" s="45"/>
      <c r="B65" s="61">
        <f>B61+1</f>
        <v>32</v>
      </c>
      <c r="C65" s="58"/>
      <c r="D65" s="34" t="s">
        <v>85</v>
      </c>
      <c r="E65" s="59" t="s">
        <v>0</v>
      </c>
      <c r="F65" s="56">
        <f>F59</f>
        <v>453.6</v>
      </c>
      <c r="G65" s="182"/>
      <c r="H65" s="97">
        <f>ROUND(F65*G65,2)</f>
        <v>0</v>
      </c>
    </row>
    <row r="66" spans="1:13" s="85" customFormat="1" ht="19.5" customHeight="1">
      <c r="A66" s="45"/>
      <c r="B66" s="17" t="s">
        <v>4</v>
      </c>
      <c r="C66" s="163" t="s">
        <v>29</v>
      </c>
      <c r="D66" s="164"/>
      <c r="E66" s="164"/>
      <c r="F66" s="164"/>
      <c r="G66" s="164"/>
      <c r="H66" s="101">
        <f>SUM(H65:H65)</f>
        <v>0</v>
      </c>
    </row>
    <row r="67" spans="1:13" s="114" customFormat="1" ht="20.100000000000001" customHeight="1">
      <c r="A67" s="45"/>
      <c r="B67" s="138" t="s">
        <v>4</v>
      </c>
      <c r="C67" s="49" t="s">
        <v>122</v>
      </c>
      <c r="D67" s="50" t="s">
        <v>123</v>
      </c>
      <c r="E67" s="51" t="s">
        <v>25</v>
      </c>
      <c r="F67" s="52" t="s">
        <v>25</v>
      </c>
      <c r="G67" s="52" t="s">
        <v>25</v>
      </c>
      <c r="H67" s="139" t="s">
        <v>25</v>
      </c>
      <c r="I67" s="140"/>
      <c r="J67" s="120"/>
      <c r="K67" s="120"/>
      <c r="L67" s="120"/>
      <c r="M67" s="120"/>
    </row>
    <row r="68" spans="1:13" s="8" customFormat="1" ht="15" customHeight="1">
      <c r="B68" s="23" t="s">
        <v>4</v>
      </c>
      <c r="C68" s="3" t="s">
        <v>124</v>
      </c>
      <c r="D68" s="141" t="s">
        <v>125</v>
      </c>
      <c r="E68" s="10" t="s">
        <v>25</v>
      </c>
      <c r="F68" s="11" t="s">
        <v>25</v>
      </c>
      <c r="G68" s="11" t="s">
        <v>25</v>
      </c>
      <c r="H68" s="121" t="s">
        <v>25</v>
      </c>
      <c r="J68" s="115"/>
      <c r="K68" s="115"/>
      <c r="L68" s="115"/>
      <c r="M68" s="115"/>
    </row>
    <row r="69" spans="1:13" s="8" customFormat="1" ht="20.100000000000001" customHeight="1">
      <c r="B69" s="9">
        <f>B65+1</f>
        <v>33</v>
      </c>
      <c r="C69" s="3"/>
      <c r="D69" s="142" t="s">
        <v>126</v>
      </c>
      <c r="E69" s="1" t="s">
        <v>0</v>
      </c>
      <c r="F69" s="151">
        <v>3.72</v>
      </c>
      <c r="G69" s="184"/>
      <c r="H69" s="123">
        <f>F69*G69</f>
        <v>0</v>
      </c>
      <c r="J69" s="115"/>
      <c r="K69" s="115"/>
      <c r="L69" s="115"/>
      <c r="M69" s="115"/>
    </row>
    <row r="70" spans="1:13" s="8" customFormat="1" ht="20.100000000000001" customHeight="1">
      <c r="B70" s="9">
        <f>B69+1</f>
        <v>34</v>
      </c>
      <c r="C70" s="3"/>
      <c r="D70" s="142" t="s">
        <v>137</v>
      </c>
      <c r="E70" s="1" t="s">
        <v>0</v>
      </c>
      <c r="F70" s="151">
        <v>9</v>
      </c>
      <c r="G70" s="184"/>
      <c r="H70" s="123">
        <f>F70*G70</f>
        <v>0</v>
      </c>
      <c r="J70" s="115"/>
      <c r="K70" s="115"/>
      <c r="L70" s="115"/>
      <c r="M70" s="115"/>
    </row>
    <row r="71" spans="1:13" s="8" customFormat="1" ht="20.100000000000001" customHeight="1">
      <c r="B71" s="9">
        <f>B70+1</f>
        <v>35</v>
      </c>
      <c r="C71" s="1"/>
      <c r="D71" s="2" t="s">
        <v>127</v>
      </c>
      <c r="E71" s="1" t="s">
        <v>0</v>
      </c>
      <c r="F71" s="151">
        <v>1.31</v>
      </c>
      <c r="G71" s="184"/>
      <c r="H71" s="123">
        <f>F71*G71</f>
        <v>0</v>
      </c>
      <c r="J71" s="115"/>
      <c r="K71" s="115"/>
      <c r="L71" s="115"/>
      <c r="M71" s="115"/>
    </row>
    <row r="72" spans="1:13" s="8" customFormat="1" ht="20.100000000000001" customHeight="1">
      <c r="B72" s="9">
        <f>B71+1</f>
        <v>36</v>
      </c>
      <c r="C72" s="1"/>
      <c r="D72" s="2" t="s">
        <v>128</v>
      </c>
      <c r="E72" s="1" t="s">
        <v>0</v>
      </c>
      <c r="F72" s="151">
        <f>0.375*(2+2+2+2+2+2)</f>
        <v>4.5</v>
      </c>
      <c r="G72" s="184"/>
      <c r="H72" s="123">
        <f>F72*G72</f>
        <v>0</v>
      </c>
      <c r="J72" s="115"/>
      <c r="K72" s="115"/>
      <c r="L72" s="115"/>
      <c r="M72" s="115"/>
    </row>
    <row r="73" spans="1:13" s="8" customFormat="1" ht="20.100000000000001" customHeight="1">
      <c r="B73" s="23" t="s">
        <v>4</v>
      </c>
      <c r="C73" s="3" t="s">
        <v>129</v>
      </c>
      <c r="D73" s="141" t="s">
        <v>130</v>
      </c>
      <c r="E73" s="10" t="s">
        <v>25</v>
      </c>
      <c r="F73" s="11" t="s">
        <v>25</v>
      </c>
      <c r="G73" s="11" t="s">
        <v>25</v>
      </c>
      <c r="H73" s="121" t="s">
        <v>25</v>
      </c>
      <c r="J73" s="115"/>
      <c r="K73" s="115"/>
      <c r="L73" s="115"/>
      <c r="M73" s="115"/>
    </row>
    <row r="74" spans="1:13" s="8" customFormat="1" ht="20.100000000000001" customHeight="1">
      <c r="B74" s="9">
        <f>B72+1</f>
        <v>37</v>
      </c>
      <c r="C74" s="1"/>
      <c r="D74" s="2" t="s">
        <v>131</v>
      </c>
      <c r="E74" s="1" t="s">
        <v>103</v>
      </c>
      <c r="F74" s="122">
        <v>6</v>
      </c>
      <c r="G74" s="184"/>
      <c r="H74" s="123">
        <f>F74*G74</f>
        <v>0</v>
      </c>
      <c r="J74" s="115"/>
      <c r="K74" s="115"/>
      <c r="L74" s="115"/>
      <c r="M74" s="115"/>
    </row>
    <row r="75" spans="1:13" s="8" customFormat="1" ht="20.100000000000001" customHeight="1">
      <c r="B75" s="9">
        <f>B74+1</f>
        <v>38</v>
      </c>
      <c r="C75" s="143"/>
      <c r="D75" s="2" t="s">
        <v>132</v>
      </c>
      <c r="E75" s="1" t="s">
        <v>103</v>
      </c>
      <c r="F75" s="122">
        <f>8+6</f>
        <v>14</v>
      </c>
      <c r="G75" s="184"/>
      <c r="H75" s="123">
        <f>F75*G75</f>
        <v>0</v>
      </c>
      <c r="J75" s="115"/>
      <c r="K75" s="115"/>
      <c r="L75" s="115"/>
      <c r="M75" s="115"/>
    </row>
    <row r="76" spans="1:13" s="8" customFormat="1" ht="20.100000000000001" customHeight="1">
      <c r="B76" s="23" t="s">
        <v>4</v>
      </c>
      <c r="C76" s="144"/>
      <c r="D76" s="141" t="s">
        <v>133</v>
      </c>
      <c r="E76" s="10" t="s">
        <v>25</v>
      </c>
      <c r="F76" s="11" t="s">
        <v>25</v>
      </c>
      <c r="G76" s="11" t="s">
        <v>25</v>
      </c>
      <c r="H76" s="121" t="s">
        <v>25</v>
      </c>
      <c r="J76" s="115"/>
      <c r="K76" s="115"/>
      <c r="L76" s="115"/>
      <c r="M76" s="115"/>
    </row>
    <row r="77" spans="1:13" s="8" customFormat="1" ht="20.100000000000001" customHeight="1">
      <c r="B77" s="9">
        <f>B75+1</f>
        <v>39</v>
      </c>
      <c r="C77" s="144"/>
      <c r="D77" s="142" t="s">
        <v>134</v>
      </c>
      <c r="E77" s="1" t="s">
        <v>103</v>
      </c>
      <c r="F77" s="122">
        <v>5</v>
      </c>
      <c r="G77" s="184"/>
      <c r="H77" s="123">
        <f>F77*G77</f>
        <v>0</v>
      </c>
      <c r="J77" s="115"/>
      <c r="K77" s="115"/>
      <c r="L77" s="115"/>
      <c r="M77" s="115"/>
    </row>
    <row r="78" spans="1:13" s="8" customFormat="1" ht="20.100000000000001" customHeight="1">
      <c r="B78" s="9">
        <f>B77+1</f>
        <v>40</v>
      </c>
      <c r="C78" s="143"/>
      <c r="D78" s="2" t="s">
        <v>135</v>
      </c>
      <c r="E78" s="1" t="s">
        <v>103</v>
      </c>
      <c r="F78" s="122">
        <f>5+7</f>
        <v>12</v>
      </c>
      <c r="G78" s="184"/>
      <c r="H78" s="123">
        <f>F78*G78</f>
        <v>0</v>
      </c>
      <c r="J78" s="115"/>
      <c r="K78" s="115"/>
      <c r="L78" s="115"/>
      <c r="M78" s="115"/>
    </row>
    <row r="79" spans="1:13" s="8" customFormat="1" ht="20.100000000000001" customHeight="1">
      <c r="B79" s="23" t="s">
        <v>4</v>
      </c>
      <c r="C79" s="143"/>
      <c r="D79" s="162" t="s">
        <v>136</v>
      </c>
      <c r="E79" s="162"/>
      <c r="F79" s="162"/>
      <c r="G79" s="162"/>
      <c r="H79" s="124">
        <f>SUM(H69:H78)</f>
        <v>0</v>
      </c>
      <c r="J79" s="115"/>
      <c r="K79" s="115"/>
      <c r="L79" s="115"/>
      <c r="M79" s="115"/>
    </row>
    <row r="80" spans="1:13" s="114" customFormat="1" ht="20.100000000000001" customHeight="1">
      <c r="A80" s="45"/>
      <c r="B80" s="48" t="s">
        <v>4</v>
      </c>
      <c r="C80" s="49" t="s">
        <v>15</v>
      </c>
      <c r="D80" s="50" t="s">
        <v>16</v>
      </c>
      <c r="E80" s="51" t="s">
        <v>25</v>
      </c>
      <c r="F80" s="52" t="s">
        <v>25</v>
      </c>
      <c r="G80" s="52" t="s">
        <v>25</v>
      </c>
      <c r="H80" s="92" t="s">
        <v>25</v>
      </c>
    </row>
    <row r="81" spans="1:13" s="114" customFormat="1" ht="20.100000000000001" customHeight="1">
      <c r="A81" s="45"/>
      <c r="B81" s="37" t="s">
        <v>4</v>
      </c>
      <c r="C81" s="38" t="s">
        <v>39</v>
      </c>
      <c r="D81" s="39" t="s">
        <v>57</v>
      </c>
      <c r="E81" s="10" t="s">
        <v>25</v>
      </c>
      <c r="F81" s="11" t="s">
        <v>25</v>
      </c>
      <c r="G81" s="11" t="s">
        <v>25</v>
      </c>
      <c r="H81" s="96" t="s">
        <v>25</v>
      </c>
    </row>
    <row r="82" spans="1:13" s="84" customFormat="1" ht="30" customHeight="1">
      <c r="A82" s="45"/>
      <c r="B82" s="41">
        <f>B78+1</f>
        <v>41</v>
      </c>
      <c r="C82" s="38"/>
      <c r="D82" s="40" t="s">
        <v>78</v>
      </c>
      <c r="E82" s="1" t="s">
        <v>26</v>
      </c>
      <c r="F82" s="6">
        <f>2+10.4+1.5+2+18.9+11.3+21+34.6+2.5+18+(1+1+4.5)+(1+1)</f>
        <v>130.69999999999999</v>
      </c>
      <c r="G82" s="184"/>
      <c r="H82" s="99">
        <f t="shared" ref="H82:H87" si="3">ROUND(F82*G82,2)</f>
        <v>0</v>
      </c>
    </row>
    <row r="83" spans="1:13" s="84" customFormat="1" ht="44.25" customHeight="1">
      <c r="A83" s="45"/>
      <c r="B83" s="41">
        <f>B82+1</f>
        <v>42</v>
      </c>
      <c r="C83" s="38"/>
      <c r="D83" s="40" t="s">
        <v>167</v>
      </c>
      <c r="E83" s="1" t="s">
        <v>26</v>
      </c>
      <c r="F83" s="6">
        <v>10.3</v>
      </c>
      <c r="G83" s="184"/>
      <c r="H83" s="99">
        <f t="shared" si="3"/>
        <v>0</v>
      </c>
    </row>
    <row r="84" spans="1:13" s="84" customFormat="1" ht="44.25" customHeight="1">
      <c r="A84" s="45"/>
      <c r="B84" s="41">
        <f>B83+1</f>
        <v>43</v>
      </c>
      <c r="C84" s="38"/>
      <c r="D84" s="40" t="s">
        <v>98</v>
      </c>
      <c r="E84" s="1" t="s">
        <v>26</v>
      </c>
      <c r="F84" s="6">
        <v>11.3</v>
      </c>
      <c r="G84" s="184"/>
      <c r="H84" s="99">
        <f t="shared" si="3"/>
        <v>0</v>
      </c>
    </row>
    <row r="85" spans="1:13" s="84" customFormat="1" ht="44.25" customHeight="1">
      <c r="A85" s="45"/>
      <c r="B85" s="41">
        <f>B84+1</f>
        <v>44</v>
      </c>
      <c r="C85" s="38"/>
      <c r="D85" s="40" t="s">
        <v>168</v>
      </c>
      <c r="E85" s="1" t="s">
        <v>26</v>
      </c>
      <c r="F85" s="6">
        <f>6.9+8.6</f>
        <v>15.5</v>
      </c>
      <c r="G85" s="184"/>
      <c r="H85" s="99">
        <f t="shared" si="3"/>
        <v>0</v>
      </c>
    </row>
    <row r="86" spans="1:13" s="84" customFormat="1" ht="44.25" customHeight="1">
      <c r="A86" s="45"/>
      <c r="B86" s="41">
        <f>B85+1</f>
        <v>45</v>
      </c>
      <c r="C86" s="38"/>
      <c r="D86" s="40" t="s">
        <v>169</v>
      </c>
      <c r="E86" s="1" t="s">
        <v>26</v>
      </c>
      <c r="F86" s="6">
        <v>7.7</v>
      </c>
      <c r="G86" s="184"/>
      <c r="H86" s="99">
        <f>ROUND(F86*G86,2)</f>
        <v>0</v>
      </c>
    </row>
    <row r="87" spans="1:13" s="84" customFormat="1" ht="30" customHeight="1">
      <c r="A87" s="45"/>
      <c r="B87" s="41">
        <f>B85+1</f>
        <v>45</v>
      </c>
      <c r="C87" s="38"/>
      <c r="D87" s="40" t="s">
        <v>99</v>
      </c>
      <c r="E87" s="1" t="s">
        <v>26</v>
      </c>
      <c r="F87" s="6">
        <f>4*6</f>
        <v>24</v>
      </c>
      <c r="G87" s="184"/>
      <c r="H87" s="99">
        <f t="shared" si="3"/>
        <v>0</v>
      </c>
    </row>
    <row r="88" spans="1:13" s="8" customFormat="1" ht="20.100000000000001" customHeight="1">
      <c r="B88" s="23" t="s">
        <v>4</v>
      </c>
      <c r="C88" s="3" t="s">
        <v>17</v>
      </c>
      <c r="D88" s="7" t="s">
        <v>18</v>
      </c>
      <c r="E88" s="10" t="s">
        <v>25</v>
      </c>
      <c r="F88" s="11" t="s">
        <v>25</v>
      </c>
      <c r="G88" s="11" t="s">
        <v>25</v>
      </c>
      <c r="H88" s="96" t="s">
        <v>25</v>
      </c>
    </row>
    <row r="89" spans="1:13" s="85" customFormat="1" ht="30" customHeight="1">
      <c r="A89" s="45"/>
      <c r="B89" s="17">
        <f>B87+1</f>
        <v>46</v>
      </c>
      <c r="C89" s="13"/>
      <c r="D89" s="14" t="s">
        <v>79</v>
      </c>
      <c r="E89" s="13" t="s">
        <v>26</v>
      </c>
      <c r="F89" s="6">
        <f>10.7+(13+2.7+5.3+8.8+4.6)+(6+18.1+5.7+8.3+5.5+16.5+7.3)+(7.3+41.9+13.1+2.3+1.3+2.8+9.5)+(5.7+4.4+5.7)+20.4+(3.2+3.5+3.5)+5.5</f>
        <v>242.6</v>
      </c>
      <c r="G89" s="180"/>
      <c r="H89" s="97">
        <f>ROUND(F89*G89,2)</f>
        <v>0</v>
      </c>
    </row>
    <row r="90" spans="1:13" s="8" customFormat="1" ht="20.100000000000001" customHeight="1">
      <c r="B90" s="23" t="s">
        <v>4</v>
      </c>
      <c r="C90" s="3" t="s">
        <v>170</v>
      </c>
      <c r="D90" s="7" t="s">
        <v>171</v>
      </c>
      <c r="E90" s="10" t="s">
        <v>25</v>
      </c>
      <c r="F90" s="11" t="s">
        <v>25</v>
      </c>
      <c r="G90" s="11" t="s">
        <v>25</v>
      </c>
      <c r="H90" s="121" t="s">
        <v>25</v>
      </c>
      <c r="I90" s="115"/>
      <c r="J90" s="115"/>
      <c r="K90" s="115"/>
      <c r="L90" s="115"/>
      <c r="M90" s="115"/>
    </row>
    <row r="91" spans="1:13" ht="27.75" customHeight="1">
      <c r="B91" s="9">
        <f>B89+1</f>
        <v>47</v>
      </c>
      <c r="C91" s="152"/>
      <c r="D91" s="14" t="s">
        <v>172</v>
      </c>
      <c r="E91" s="13" t="s">
        <v>26</v>
      </c>
      <c r="F91" s="6">
        <f>34.6+121+6+11.1+0.5</f>
        <v>173.2</v>
      </c>
      <c r="G91" s="180"/>
      <c r="H91" s="131">
        <f>F91*G91</f>
        <v>0</v>
      </c>
      <c r="I91" s="133"/>
      <c r="J91" s="133"/>
      <c r="K91" s="133"/>
      <c r="L91" s="133"/>
      <c r="M91" s="133"/>
    </row>
    <row r="92" spans="1:13" ht="19.5" customHeight="1">
      <c r="B92" s="9" t="s">
        <v>4</v>
      </c>
      <c r="C92" s="163" t="s">
        <v>28</v>
      </c>
      <c r="D92" s="164"/>
      <c r="E92" s="164"/>
      <c r="F92" s="164"/>
      <c r="G92" s="164"/>
      <c r="H92" s="101">
        <f>SUM(H82:H91)</f>
        <v>0</v>
      </c>
    </row>
    <row r="93" spans="1:13" s="114" customFormat="1" ht="20.100000000000001" customHeight="1">
      <c r="A93" s="45"/>
      <c r="B93" s="48" t="s">
        <v>4</v>
      </c>
      <c r="C93" s="49" t="s">
        <v>43</v>
      </c>
      <c r="D93" s="50" t="s">
        <v>44</v>
      </c>
      <c r="E93" s="51" t="s">
        <v>25</v>
      </c>
      <c r="F93" s="52" t="s">
        <v>25</v>
      </c>
      <c r="G93" s="52" t="s">
        <v>25</v>
      </c>
      <c r="H93" s="92" t="s">
        <v>25</v>
      </c>
    </row>
    <row r="94" spans="1:13" s="8" customFormat="1" ht="20.100000000000001" customHeight="1">
      <c r="B94" s="23" t="s">
        <v>4</v>
      </c>
      <c r="C94" s="3" t="s">
        <v>45</v>
      </c>
      <c r="D94" s="44" t="s">
        <v>59</v>
      </c>
      <c r="E94" s="10" t="s">
        <v>25</v>
      </c>
      <c r="F94" s="11" t="s">
        <v>25</v>
      </c>
      <c r="G94" s="11" t="s">
        <v>25</v>
      </c>
      <c r="H94" s="96" t="s">
        <v>25</v>
      </c>
    </row>
    <row r="95" spans="1:13" s="81" customFormat="1" ht="30" customHeight="1">
      <c r="A95" s="8"/>
      <c r="B95" s="9">
        <f>B91+1</f>
        <v>48</v>
      </c>
      <c r="C95" s="1"/>
      <c r="D95" s="2" t="s">
        <v>63</v>
      </c>
      <c r="E95" s="1" t="s">
        <v>0</v>
      </c>
      <c r="F95" s="6">
        <f>11+3</f>
        <v>14</v>
      </c>
      <c r="G95" s="184"/>
      <c r="H95" s="99">
        <f>ROUND(F95*G95,2)</f>
        <v>0</v>
      </c>
    </row>
    <row r="96" spans="1:13" s="8" customFormat="1" ht="20.100000000000001" customHeight="1" thickBot="1">
      <c r="B96" s="23" t="s">
        <v>4</v>
      </c>
      <c r="C96" s="172" t="s">
        <v>46</v>
      </c>
      <c r="D96" s="173"/>
      <c r="E96" s="173"/>
      <c r="F96" s="173"/>
      <c r="G96" s="174"/>
      <c r="H96" s="95">
        <f>SUM(H95:H95)</f>
        <v>0</v>
      </c>
    </row>
    <row r="97" spans="2:8" s="24" customFormat="1" ht="26.25" customHeight="1">
      <c r="B97" s="64" t="s">
        <v>4</v>
      </c>
      <c r="C97" s="170" t="s">
        <v>71</v>
      </c>
      <c r="D97" s="171"/>
      <c r="E97" s="171"/>
      <c r="F97" s="171"/>
      <c r="G97" s="171"/>
      <c r="H97" s="102">
        <f>H14+H34+H40+H56+H62+H66+H79+H92+H96</f>
        <v>0</v>
      </c>
    </row>
    <row r="98" spans="2:8" ht="27" customHeight="1">
      <c r="B98" s="63" t="s">
        <v>4</v>
      </c>
      <c r="C98" s="158" t="s">
        <v>72</v>
      </c>
      <c r="D98" s="158"/>
      <c r="E98" s="158"/>
      <c r="F98" s="158"/>
      <c r="G98" s="158"/>
      <c r="H98" s="103">
        <f>ROUND(H97*0.23,2)</f>
        <v>0</v>
      </c>
    </row>
    <row r="99" spans="2:8" ht="27" customHeight="1" thickBot="1">
      <c r="B99" s="47" t="s">
        <v>4</v>
      </c>
      <c r="C99" s="159" t="s">
        <v>69</v>
      </c>
      <c r="D99" s="159"/>
      <c r="E99" s="159"/>
      <c r="F99" s="159"/>
      <c r="G99" s="159"/>
      <c r="H99" s="104">
        <f>H97+H98</f>
        <v>0</v>
      </c>
    </row>
    <row r="100" spans="2:8" s="46" customFormat="1">
      <c r="B100" s="105"/>
      <c r="C100" s="106"/>
      <c r="D100" s="107"/>
      <c r="E100" s="107"/>
      <c r="F100" s="74"/>
      <c r="G100" s="108"/>
      <c r="H100" s="71"/>
    </row>
    <row r="101" spans="2:8">
      <c r="B101" s="109"/>
      <c r="C101" s="110"/>
      <c r="D101" s="111"/>
      <c r="E101" s="112"/>
      <c r="G101" s="113"/>
    </row>
    <row r="102" spans="2:8">
      <c r="B102" s="109"/>
      <c r="C102" s="110"/>
      <c r="D102" s="111"/>
      <c r="E102" s="112"/>
      <c r="G102" s="113"/>
    </row>
    <row r="103" spans="2:8">
      <c r="B103" s="109"/>
      <c r="C103" s="110"/>
      <c r="D103" s="111"/>
      <c r="E103" s="112"/>
      <c r="G103" s="113"/>
    </row>
    <row r="104" spans="2:8">
      <c r="B104" s="109"/>
      <c r="C104" s="110"/>
      <c r="D104" s="111"/>
      <c r="E104" s="112"/>
      <c r="G104" s="113"/>
      <c r="H104" s="36"/>
    </row>
    <row r="105" spans="2:8">
      <c r="B105" s="109"/>
      <c r="C105" s="110"/>
      <c r="D105" s="111"/>
      <c r="E105" s="112"/>
      <c r="G105" s="113"/>
      <c r="H105" s="36"/>
    </row>
    <row r="106" spans="2:8">
      <c r="B106" s="109"/>
      <c r="C106" s="110"/>
      <c r="D106" s="111"/>
      <c r="E106" s="112"/>
      <c r="G106" s="113"/>
    </row>
    <row r="107" spans="2:8">
      <c r="B107" s="109"/>
      <c r="C107" s="110"/>
      <c r="D107" s="111"/>
      <c r="E107" s="112"/>
      <c r="G107" s="113"/>
    </row>
  </sheetData>
  <sheetProtection sheet="1" objects="1" scenarios="1" formatCells="0" formatColumns="0" formatRows="0" selectLockedCells="1"/>
  <mergeCells count="16">
    <mergeCell ref="B1:H1"/>
    <mergeCell ref="B2:H2"/>
    <mergeCell ref="B4:B5"/>
    <mergeCell ref="C97:G97"/>
    <mergeCell ref="C34:G34"/>
    <mergeCell ref="C92:G92"/>
    <mergeCell ref="C96:G96"/>
    <mergeCell ref="C56:G56"/>
    <mergeCell ref="D79:G79"/>
    <mergeCell ref="C98:G98"/>
    <mergeCell ref="C99:G99"/>
    <mergeCell ref="E4:F4"/>
    <mergeCell ref="C14:G14"/>
    <mergeCell ref="D40:G40"/>
    <mergeCell ref="C62:G62"/>
    <mergeCell ref="C66:G66"/>
  </mergeCells>
  <phoneticPr fontId="36" type="noConversion"/>
  <printOptions horizontalCentered="1"/>
  <pageMargins left="0.82677165354330717" right="0.23622047244094491" top="0.74803149606299213" bottom="0.74803149606299213" header="0.31496062992125984" footer="0.31496062992125984"/>
  <pageSetup paperSize="9" scale="70" firstPageNumber="10" orientation="portrait" r:id="rId1"/>
  <headerFooter alignWithMargins="0"/>
  <rowBreaks count="2" manualBreakCount="2">
    <brk id="34" min="1" max="11" man="1"/>
    <brk id="66"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F948-2029-49FA-8049-D7851835445F}">
  <dimension ref="A1:M64"/>
  <sheetViews>
    <sheetView view="pageBreakPreview" topLeftCell="A32" zoomScale="90" zoomScaleNormal="100" zoomScaleSheetLayoutView="90" workbookViewId="0">
      <selection activeCell="G8" sqref="G8"/>
    </sheetView>
  </sheetViews>
  <sheetFormatPr defaultRowHeight="12.75"/>
  <cols>
    <col min="1" max="1" width="2" style="45" customWidth="1"/>
    <col min="2" max="2" width="4.42578125" style="18" customWidth="1"/>
    <col min="3" max="3" width="12.42578125" style="19" customWidth="1"/>
    <col min="4" max="4" width="56.42578125" style="111" customWidth="1"/>
    <col min="5" max="5" width="7.42578125" style="21" customWidth="1"/>
    <col min="6" max="6" width="10.140625" style="75" customWidth="1"/>
    <col min="7" max="7" width="9.7109375" style="36" customWidth="1"/>
    <col min="8" max="8" width="13.7109375" style="20" customWidth="1"/>
    <col min="9" max="16384" width="9.140625" style="15"/>
  </cols>
  <sheetData>
    <row r="1" spans="1:10" ht="24.95" customHeight="1">
      <c r="B1" s="165" t="str">
        <f>'Strona tyt.'!B25</f>
        <v>Część 2 - chodnik na osiedlu Ogrody.</v>
      </c>
      <c r="C1" s="165"/>
      <c r="D1" s="165"/>
      <c r="E1" s="165"/>
      <c r="F1" s="165"/>
      <c r="G1" s="165"/>
      <c r="H1" s="165"/>
    </row>
    <row r="2" spans="1:10" s="24" customFormat="1" ht="19.5" customHeight="1">
      <c r="B2" s="166" t="s">
        <v>19</v>
      </c>
      <c r="C2" s="167"/>
      <c r="D2" s="167"/>
      <c r="E2" s="167"/>
      <c r="F2" s="167"/>
      <c r="G2" s="167"/>
      <c r="H2" s="167"/>
    </row>
    <row r="3" spans="1:10" s="24" customFormat="1" ht="10.5" customHeight="1" thickBot="1">
      <c r="B3" s="30"/>
      <c r="C3" s="31"/>
      <c r="D3" s="135"/>
      <c r="E3" s="31"/>
      <c r="F3" s="73"/>
      <c r="G3" s="35"/>
      <c r="H3" s="35"/>
    </row>
    <row r="4" spans="1:10" s="26" customFormat="1" ht="20.100000000000001" customHeight="1">
      <c r="B4" s="168" t="s">
        <v>8</v>
      </c>
      <c r="C4" s="22" t="s">
        <v>9</v>
      </c>
      <c r="D4" s="25" t="s">
        <v>10</v>
      </c>
      <c r="E4" s="160" t="s">
        <v>11</v>
      </c>
      <c r="F4" s="160"/>
      <c r="G4" s="32" t="s">
        <v>32</v>
      </c>
      <c r="H4" s="89" t="s">
        <v>33</v>
      </c>
    </row>
    <row r="5" spans="1:10" s="26" customFormat="1" ht="27" customHeight="1">
      <c r="B5" s="169"/>
      <c r="C5" s="27" t="s">
        <v>36</v>
      </c>
      <c r="D5" s="28" t="s">
        <v>12</v>
      </c>
      <c r="E5" s="27" t="s">
        <v>13</v>
      </c>
      <c r="F5" s="29" t="s">
        <v>14</v>
      </c>
      <c r="G5" s="29" t="s">
        <v>35</v>
      </c>
      <c r="H5" s="90" t="s">
        <v>34</v>
      </c>
    </row>
    <row r="6" spans="1:10" s="8" customFormat="1" ht="20.100000000000001" customHeight="1">
      <c r="B6" s="4">
        <v>1</v>
      </c>
      <c r="C6" s="3">
        <v>2</v>
      </c>
      <c r="D6" s="3">
        <v>3</v>
      </c>
      <c r="E6" s="3">
        <v>4</v>
      </c>
      <c r="F6" s="3">
        <v>5</v>
      </c>
      <c r="G6" s="27">
        <v>6</v>
      </c>
      <c r="H6" s="91">
        <v>7</v>
      </c>
    </row>
    <row r="7" spans="1:10" s="114" customFormat="1" ht="20.100000000000001" customHeight="1">
      <c r="A7" s="45"/>
      <c r="B7" s="48" t="s">
        <v>4</v>
      </c>
      <c r="C7" s="49" t="s">
        <v>61</v>
      </c>
      <c r="D7" s="50" t="s">
        <v>48</v>
      </c>
      <c r="E7" s="51" t="s">
        <v>25</v>
      </c>
      <c r="F7" s="52" t="s">
        <v>25</v>
      </c>
      <c r="G7" s="52" t="s">
        <v>25</v>
      </c>
      <c r="H7" s="92" t="s">
        <v>25</v>
      </c>
    </row>
    <row r="8" spans="1:10" s="8" customFormat="1" ht="20.100000000000001" customHeight="1">
      <c r="B8" s="42">
        <v>1</v>
      </c>
      <c r="C8" s="3"/>
      <c r="D8" s="2" t="s">
        <v>50</v>
      </c>
      <c r="E8" s="1" t="s">
        <v>47</v>
      </c>
      <c r="F8" s="78">
        <v>1</v>
      </c>
      <c r="G8" s="175"/>
      <c r="H8" s="93">
        <f>ROUND(F8*G8,2)</f>
        <v>0</v>
      </c>
    </row>
    <row r="9" spans="1:10" s="8" customFormat="1" ht="20.100000000000001" customHeight="1">
      <c r="B9" s="42" t="s">
        <v>4</v>
      </c>
      <c r="C9" s="3"/>
      <c r="D9" s="2" t="s">
        <v>51</v>
      </c>
      <c r="E9" s="43" t="s">
        <v>25</v>
      </c>
      <c r="F9" s="87" t="s">
        <v>25</v>
      </c>
      <c r="G9" s="88" t="s">
        <v>25</v>
      </c>
      <c r="H9" s="94" t="s">
        <v>25</v>
      </c>
    </row>
    <row r="10" spans="1:10" s="8" customFormat="1" ht="20.100000000000001" customHeight="1">
      <c r="B10" s="42" t="s">
        <v>4</v>
      </c>
      <c r="C10" s="3"/>
      <c r="D10" s="2" t="s">
        <v>76</v>
      </c>
      <c r="E10" s="43" t="s">
        <v>25</v>
      </c>
      <c r="F10" s="87" t="s">
        <v>25</v>
      </c>
      <c r="G10" s="88" t="s">
        <v>25</v>
      </c>
      <c r="H10" s="94" t="s">
        <v>25</v>
      </c>
    </row>
    <row r="11" spans="1:10" s="8" customFormat="1" ht="20.100000000000001" customHeight="1">
      <c r="B11" s="42" t="s">
        <v>4</v>
      </c>
      <c r="C11" s="3"/>
      <c r="D11" s="2" t="s">
        <v>75</v>
      </c>
      <c r="E11" s="43" t="s">
        <v>25</v>
      </c>
      <c r="F11" s="87" t="s">
        <v>25</v>
      </c>
      <c r="G11" s="88" t="s">
        <v>25</v>
      </c>
      <c r="H11" s="94" t="s">
        <v>25</v>
      </c>
    </row>
    <row r="12" spans="1:10" s="8" customFormat="1" ht="20.100000000000001" customHeight="1">
      <c r="B12" s="42" t="s">
        <v>4</v>
      </c>
      <c r="C12" s="3"/>
      <c r="D12" s="2" t="s">
        <v>58</v>
      </c>
      <c r="E12" s="43" t="s">
        <v>25</v>
      </c>
      <c r="F12" s="87" t="s">
        <v>25</v>
      </c>
      <c r="G12" s="88" t="s">
        <v>25</v>
      </c>
      <c r="H12" s="94" t="s">
        <v>25</v>
      </c>
    </row>
    <row r="13" spans="1:10" s="8" customFormat="1" ht="20.100000000000001" customHeight="1">
      <c r="B13" s="42" t="s">
        <v>4</v>
      </c>
      <c r="C13" s="3"/>
      <c r="D13" s="2" t="s">
        <v>52</v>
      </c>
      <c r="E13" s="43" t="s">
        <v>25</v>
      </c>
      <c r="F13" s="87" t="s">
        <v>25</v>
      </c>
      <c r="G13" s="88" t="s">
        <v>25</v>
      </c>
      <c r="H13" s="94" t="s">
        <v>25</v>
      </c>
    </row>
    <row r="14" spans="1:10" s="8" customFormat="1" ht="20.100000000000001" customHeight="1">
      <c r="B14" s="23" t="s">
        <v>4</v>
      </c>
      <c r="C14" s="161" t="s">
        <v>49</v>
      </c>
      <c r="D14" s="161"/>
      <c r="E14" s="161"/>
      <c r="F14" s="161"/>
      <c r="G14" s="161"/>
      <c r="H14" s="95">
        <f>H8</f>
        <v>0</v>
      </c>
      <c r="J14" s="115"/>
    </row>
    <row r="15" spans="1:10" s="114" customFormat="1" ht="20.100000000000001" customHeight="1">
      <c r="A15" s="45"/>
      <c r="B15" s="48" t="s">
        <v>4</v>
      </c>
      <c r="C15" s="49" t="s">
        <v>24</v>
      </c>
      <c r="D15" s="50" t="s">
        <v>21</v>
      </c>
      <c r="E15" s="51" t="s">
        <v>25</v>
      </c>
      <c r="F15" s="52" t="s">
        <v>25</v>
      </c>
      <c r="G15" s="52" t="s">
        <v>25</v>
      </c>
      <c r="H15" s="92" t="s">
        <v>25</v>
      </c>
    </row>
    <row r="16" spans="1:10" s="8" customFormat="1" ht="19.5" customHeight="1">
      <c r="B16" s="23" t="s">
        <v>4</v>
      </c>
      <c r="C16" s="3" t="s">
        <v>20</v>
      </c>
      <c r="D16" s="7" t="s">
        <v>53</v>
      </c>
      <c r="E16" s="10" t="s">
        <v>25</v>
      </c>
      <c r="F16" s="10" t="s">
        <v>25</v>
      </c>
      <c r="G16" s="11" t="s">
        <v>25</v>
      </c>
      <c r="H16" s="96" t="s">
        <v>25</v>
      </c>
    </row>
    <row r="17" spans="1:13" ht="30" customHeight="1">
      <c r="B17" s="41">
        <f>B8+1</f>
        <v>2</v>
      </c>
      <c r="C17" s="66"/>
      <c r="D17" s="40" t="s">
        <v>84</v>
      </c>
      <c r="E17" s="66" t="s">
        <v>37</v>
      </c>
      <c r="F17" s="60">
        <f>(29+71)/1000</f>
        <v>0.1</v>
      </c>
      <c r="G17" s="176"/>
      <c r="H17" s="97">
        <f>ROUND(F17*G17,2)</f>
        <v>0</v>
      </c>
    </row>
    <row r="18" spans="1:13" s="8" customFormat="1" ht="20.100000000000001" customHeight="1">
      <c r="B18" s="23" t="s">
        <v>4</v>
      </c>
      <c r="C18" s="3" t="s">
        <v>22</v>
      </c>
      <c r="D18" s="7" t="s">
        <v>54</v>
      </c>
      <c r="E18" s="10" t="s">
        <v>25</v>
      </c>
      <c r="F18" s="11" t="s">
        <v>25</v>
      </c>
      <c r="G18" s="11" t="s">
        <v>25</v>
      </c>
      <c r="H18" s="96" t="s">
        <v>25</v>
      </c>
    </row>
    <row r="19" spans="1:13" s="81" customFormat="1" ht="30" customHeight="1">
      <c r="A19" s="8"/>
      <c r="B19" s="61">
        <f>B17+1</f>
        <v>3</v>
      </c>
      <c r="C19" s="59"/>
      <c r="D19" s="68" t="s">
        <v>119</v>
      </c>
      <c r="E19" s="59" t="s">
        <v>0</v>
      </c>
      <c r="F19" s="56">
        <v>8.1</v>
      </c>
      <c r="G19" s="177"/>
      <c r="H19" s="98">
        <f t="shared" ref="H19:H24" si="0">ROUND(F19*G19,2)</f>
        <v>0</v>
      </c>
    </row>
    <row r="20" spans="1:13" s="81" customFormat="1" ht="19.5" customHeight="1">
      <c r="A20" s="8"/>
      <c r="B20" s="61">
        <f>B19+1</f>
        <v>4</v>
      </c>
      <c r="C20" s="59"/>
      <c r="D20" s="68" t="s">
        <v>92</v>
      </c>
      <c r="E20" s="59" t="s">
        <v>0</v>
      </c>
      <c r="F20" s="56">
        <f>26.6+48.3+8+38</f>
        <v>120.9</v>
      </c>
      <c r="G20" s="177"/>
      <c r="H20" s="98">
        <f t="shared" si="0"/>
        <v>0</v>
      </c>
    </row>
    <row r="21" spans="1:13" s="85" customFormat="1" ht="19.5" customHeight="1">
      <c r="A21" s="45"/>
      <c r="B21" s="61">
        <f>B20+1</f>
        <v>5</v>
      </c>
      <c r="C21" s="57"/>
      <c r="D21" s="69" t="s">
        <v>74</v>
      </c>
      <c r="E21" s="58" t="s">
        <v>26</v>
      </c>
      <c r="F21" s="56">
        <f>41.5+11.5+1.2+10.7</f>
        <v>64.900000000000006</v>
      </c>
      <c r="G21" s="178"/>
      <c r="H21" s="98">
        <f t="shared" si="0"/>
        <v>0</v>
      </c>
    </row>
    <row r="22" spans="1:13" s="85" customFormat="1" ht="19.5" customHeight="1">
      <c r="A22" s="45"/>
      <c r="B22" s="61">
        <f>B21+1</f>
        <v>6</v>
      </c>
      <c r="C22" s="57"/>
      <c r="D22" s="69" t="s">
        <v>77</v>
      </c>
      <c r="E22" s="58" t="s">
        <v>26</v>
      </c>
      <c r="F22" s="153">
        <f>14.7+2+2+7.5+27</f>
        <v>53.2</v>
      </c>
      <c r="G22" s="178"/>
      <c r="H22" s="98">
        <f t="shared" si="0"/>
        <v>0</v>
      </c>
    </row>
    <row r="23" spans="1:13" s="81" customFormat="1" ht="19.5" customHeight="1">
      <c r="A23" s="8"/>
      <c r="B23" s="61">
        <f>B22+1</f>
        <v>7</v>
      </c>
      <c r="C23" s="1"/>
      <c r="D23" s="2" t="s">
        <v>152</v>
      </c>
      <c r="E23" s="1" t="s">
        <v>60</v>
      </c>
      <c r="F23" s="6">
        <f>(F20*0.05+F21*0.1+F22*0.03)*2.2</f>
        <v>31.088200000000008</v>
      </c>
      <c r="G23" s="179"/>
      <c r="H23" s="98">
        <f t="shared" si="0"/>
        <v>0</v>
      </c>
    </row>
    <row r="24" spans="1:13" s="81" customFormat="1" ht="30" customHeight="1">
      <c r="A24" s="8"/>
      <c r="B24" s="61">
        <f>B23+1</f>
        <v>8</v>
      </c>
      <c r="C24" s="1"/>
      <c r="D24" s="2" t="s">
        <v>95</v>
      </c>
      <c r="E24" s="1" t="s">
        <v>60</v>
      </c>
      <c r="F24" s="6">
        <f>(F19)*0.08*2.2</f>
        <v>1.4256000000000002</v>
      </c>
      <c r="G24" s="179"/>
      <c r="H24" s="98">
        <f t="shared" si="0"/>
        <v>0</v>
      </c>
    </row>
    <row r="25" spans="1:13" s="114" customFormat="1" ht="20.100000000000001" customHeight="1">
      <c r="A25" s="45"/>
      <c r="B25" s="37" t="s">
        <v>4</v>
      </c>
      <c r="C25" s="38" t="s">
        <v>160</v>
      </c>
      <c r="D25" s="39" t="s">
        <v>102</v>
      </c>
      <c r="E25" s="10" t="s">
        <v>25</v>
      </c>
      <c r="F25" s="11" t="s">
        <v>25</v>
      </c>
      <c r="G25" s="11" t="s">
        <v>25</v>
      </c>
      <c r="H25" s="121" t="s">
        <v>25</v>
      </c>
      <c r="I25" s="120"/>
      <c r="J25" s="120"/>
      <c r="K25" s="120"/>
      <c r="L25" s="120"/>
      <c r="M25" s="120"/>
    </row>
    <row r="26" spans="1:13" s="8" customFormat="1" ht="19.5" customHeight="1">
      <c r="B26" s="9">
        <f>B24+1</f>
        <v>9</v>
      </c>
      <c r="C26" s="3"/>
      <c r="D26" s="5" t="s">
        <v>104</v>
      </c>
      <c r="E26" s="1" t="s">
        <v>103</v>
      </c>
      <c r="F26" s="122">
        <v>1</v>
      </c>
      <c r="G26" s="179"/>
      <c r="H26" s="123">
        <f>F26*G26</f>
        <v>0</v>
      </c>
      <c r="I26" s="115"/>
      <c r="J26" s="115"/>
      <c r="K26" s="115"/>
      <c r="L26" s="115"/>
      <c r="M26" s="115"/>
    </row>
    <row r="27" spans="1:13" s="81" customFormat="1" ht="20.100000000000001" customHeight="1">
      <c r="A27" s="8"/>
      <c r="B27" s="23" t="s">
        <v>4</v>
      </c>
      <c r="C27" s="161" t="s">
        <v>31</v>
      </c>
      <c r="D27" s="161"/>
      <c r="E27" s="161"/>
      <c r="F27" s="161"/>
      <c r="G27" s="161"/>
      <c r="H27" s="95">
        <f>SUM(H17:H26)</f>
        <v>0</v>
      </c>
    </row>
    <row r="28" spans="1:13" s="84" customFormat="1" ht="20.100000000000001" customHeight="1">
      <c r="A28" s="45"/>
      <c r="B28" s="48" t="s">
        <v>4</v>
      </c>
      <c r="C28" s="49" t="s">
        <v>86</v>
      </c>
      <c r="D28" s="50" t="s">
        <v>40</v>
      </c>
      <c r="E28" s="51" t="s">
        <v>25</v>
      </c>
      <c r="F28" s="52" t="s">
        <v>25</v>
      </c>
      <c r="G28" s="52" t="s">
        <v>25</v>
      </c>
      <c r="H28" s="92" t="s">
        <v>25</v>
      </c>
    </row>
    <row r="29" spans="1:13" s="81" customFormat="1" ht="20.100000000000001" customHeight="1">
      <c r="A29" s="8"/>
      <c r="B29" s="23" t="s">
        <v>4</v>
      </c>
      <c r="C29" s="3" t="s">
        <v>41</v>
      </c>
      <c r="D29" s="7" t="s">
        <v>55</v>
      </c>
      <c r="E29" s="10" t="s">
        <v>25</v>
      </c>
      <c r="F29" s="11" t="s">
        <v>25</v>
      </c>
      <c r="G29" s="11" t="s">
        <v>25</v>
      </c>
      <c r="H29" s="96" t="s">
        <v>25</v>
      </c>
    </row>
    <row r="30" spans="1:13" s="85" customFormat="1" ht="28.5" customHeight="1">
      <c r="A30" s="45"/>
      <c r="B30" s="17">
        <f>B26+1</f>
        <v>10</v>
      </c>
      <c r="C30" s="13"/>
      <c r="D30" s="14" t="s">
        <v>154</v>
      </c>
      <c r="E30" s="13" t="s">
        <v>27</v>
      </c>
      <c r="F30" s="6">
        <f>(F38)*0.15+(F47+F48+F49)*0.05</f>
        <v>21.545000000000002</v>
      </c>
      <c r="G30" s="179"/>
      <c r="H30" s="99">
        <f>ROUND(F30*G30,2)</f>
        <v>0</v>
      </c>
    </row>
    <row r="31" spans="1:13" s="85" customFormat="1" ht="19.5" customHeight="1">
      <c r="A31" s="45"/>
      <c r="B31" s="17">
        <f>B30+1</f>
        <v>11</v>
      </c>
      <c r="C31" s="13"/>
      <c r="D31" s="14" t="s">
        <v>62</v>
      </c>
      <c r="E31" s="13" t="s">
        <v>27</v>
      </c>
      <c r="F31" s="6">
        <f>F30</f>
        <v>21.545000000000002</v>
      </c>
      <c r="G31" s="179"/>
      <c r="H31" s="99">
        <f>ROUND(F31*G31,2)</f>
        <v>0</v>
      </c>
    </row>
    <row r="32" spans="1:13" s="85" customFormat="1" ht="19.5" customHeight="1">
      <c r="A32" s="45"/>
      <c r="B32" s="17">
        <f>B31+1</f>
        <v>12</v>
      </c>
      <c r="C32" s="13"/>
      <c r="D32" s="14" t="s">
        <v>96</v>
      </c>
      <c r="E32" s="13" t="s">
        <v>60</v>
      </c>
      <c r="F32" s="6">
        <f>(F30)*2</f>
        <v>43.09</v>
      </c>
      <c r="G32" s="179"/>
      <c r="H32" s="99">
        <f>ROUND(F32*G32,2)</f>
        <v>0</v>
      </c>
    </row>
    <row r="33" spans="1:8" s="8" customFormat="1" ht="20.100000000000001" customHeight="1">
      <c r="B33" s="23" t="s">
        <v>4</v>
      </c>
      <c r="C33" s="1"/>
      <c r="D33" s="162" t="s">
        <v>42</v>
      </c>
      <c r="E33" s="162"/>
      <c r="F33" s="162"/>
      <c r="G33" s="162"/>
      <c r="H33" s="95">
        <f>SUM(H30:H32)</f>
        <v>0</v>
      </c>
    </row>
    <row r="34" spans="1:8" s="114" customFormat="1" ht="20.100000000000001" customHeight="1">
      <c r="A34" s="45"/>
      <c r="B34" s="48" t="s">
        <v>4</v>
      </c>
      <c r="C34" s="49" t="s">
        <v>5</v>
      </c>
      <c r="D34" s="50" t="s">
        <v>6</v>
      </c>
      <c r="E34" s="51" t="s">
        <v>25</v>
      </c>
      <c r="F34" s="52" t="s">
        <v>25</v>
      </c>
      <c r="G34" s="52" t="s">
        <v>25</v>
      </c>
      <c r="H34" s="92" t="s">
        <v>25</v>
      </c>
    </row>
    <row r="35" spans="1:8" s="8" customFormat="1" ht="20.100000000000001" customHeight="1">
      <c r="B35" s="23" t="s">
        <v>4</v>
      </c>
      <c r="C35" s="3" t="s">
        <v>7</v>
      </c>
      <c r="D35" s="7" t="s">
        <v>23</v>
      </c>
      <c r="E35" s="10" t="s">
        <v>25</v>
      </c>
      <c r="F35" s="11" t="s">
        <v>25</v>
      </c>
      <c r="G35" s="33" t="s">
        <v>38</v>
      </c>
      <c r="H35" s="100" t="s">
        <v>38</v>
      </c>
    </row>
    <row r="36" spans="1:8" s="85" customFormat="1" ht="30" customHeight="1">
      <c r="A36" s="45"/>
      <c r="B36" s="17">
        <f>B32+1</f>
        <v>13</v>
      </c>
      <c r="C36" s="38"/>
      <c r="D36" s="40" t="s">
        <v>140</v>
      </c>
      <c r="E36" s="66" t="s">
        <v>0</v>
      </c>
      <c r="F36" s="6">
        <f>F38</f>
        <v>127</v>
      </c>
      <c r="G36" s="176"/>
      <c r="H36" s="97">
        <f>ROUND(F36*G36,2)</f>
        <v>0</v>
      </c>
    </row>
    <row r="37" spans="1:8" ht="21" customHeight="1">
      <c r="B37" s="9" t="s">
        <v>4</v>
      </c>
      <c r="C37" s="16" t="s">
        <v>87</v>
      </c>
      <c r="D37" s="12" t="s">
        <v>81</v>
      </c>
      <c r="E37" s="10" t="s">
        <v>25</v>
      </c>
      <c r="F37" s="11" t="s">
        <v>25</v>
      </c>
      <c r="G37" s="11" t="s">
        <v>25</v>
      </c>
      <c r="H37" s="96" t="s">
        <v>25</v>
      </c>
    </row>
    <row r="38" spans="1:8" s="85" customFormat="1" ht="30" customHeight="1">
      <c r="A38" s="45"/>
      <c r="B38" s="9">
        <f>B36+1</f>
        <v>14</v>
      </c>
      <c r="C38" s="16"/>
      <c r="D38" s="14" t="s">
        <v>153</v>
      </c>
      <c r="E38" s="13" t="s">
        <v>27</v>
      </c>
      <c r="F38" s="67">
        <f>F42+F43</f>
        <v>127</v>
      </c>
      <c r="G38" s="175"/>
      <c r="H38" s="93">
        <f>ROUND(F38*G38,2)</f>
        <v>0</v>
      </c>
    </row>
    <row r="39" spans="1:8" ht="19.5" customHeight="1">
      <c r="B39" s="9" t="s">
        <v>4</v>
      </c>
      <c r="C39" s="163" t="s">
        <v>30</v>
      </c>
      <c r="D39" s="164"/>
      <c r="E39" s="164"/>
      <c r="F39" s="164"/>
      <c r="G39" s="164"/>
      <c r="H39" s="101">
        <f>SUM(H36:H38)</f>
        <v>0</v>
      </c>
    </row>
    <row r="40" spans="1:8" s="114" customFormat="1" ht="20.100000000000001" customHeight="1">
      <c r="A40" s="45"/>
      <c r="B40" s="48" t="s">
        <v>4</v>
      </c>
      <c r="C40" s="49" t="s">
        <v>1</v>
      </c>
      <c r="D40" s="50" t="s">
        <v>2</v>
      </c>
      <c r="E40" s="51" t="s">
        <v>25</v>
      </c>
      <c r="F40" s="52" t="s">
        <v>25</v>
      </c>
      <c r="G40" s="52" t="s">
        <v>25</v>
      </c>
      <c r="H40" s="92" t="s">
        <v>25</v>
      </c>
    </row>
    <row r="41" spans="1:8" s="8" customFormat="1" ht="20.100000000000001" customHeight="1">
      <c r="B41" s="23" t="s">
        <v>4</v>
      </c>
      <c r="C41" s="3" t="s">
        <v>3</v>
      </c>
      <c r="D41" s="7" t="s">
        <v>56</v>
      </c>
      <c r="E41" s="10" t="s">
        <v>25</v>
      </c>
      <c r="F41" s="11" t="s">
        <v>25</v>
      </c>
      <c r="G41" s="11" t="s">
        <v>25</v>
      </c>
      <c r="H41" s="96" t="s">
        <v>25</v>
      </c>
    </row>
    <row r="42" spans="1:8" s="85" customFormat="1" ht="30" customHeight="1">
      <c r="A42" s="45"/>
      <c r="B42" s="61">
        <f>B38+1</f>
        <v>15</v>
      </c>
      <c r="C42" s="58"/>
      <c r="D42" s="34" t="s">
        <v>173</v>
      </c>
      <c r="E42" s="59" t="s">
        <v>0</v>
      </c>
      <c r="F42" s="56">
        <f>26.6+9+35</f>
        <v>70.599999999999994</v>
      </c>
      <c r="G42" s="177"/>
      <c r="H42" s="97">
        <f>ROUND(F42*G42,2)</f>
        <v>0</v>
      </c>
    </row>
    <row r="43" spans="1:8" s="85" customFormat="1" ht="30" customHeight="1">
      <c r="A43" s="45"/>
      <c r="B43" s="61">
        <f>B42+1</f>
        <v>16</v>
      </c>
      <c r="C43" s="58"/>
      <c r="D43" s="34" t="s">
        <v>174</v>
      </c>
      <c r="E43" s="59" t="s">
        <v>27</v>
      </c>
      <c r="F43" s="56">
        <f>8.1+48.3</f>
        <v>56.4</v>
      </c>
      <c r="G43" s="177"/>
      <c r="H43" s="97">
        <f>ROUND(F43*G43,2)</f>
        <v>0</v>
      </c>
    </row>
    <row r="44" spans="1:8" s="85" customFormat="1" ht="19.5" customHeight="1">
      <c r="A44" s="45"/>
      <c r="B44" s="17" t="s">
        <v>4</v>
      </c>
      <c r="C44" s="163" t="s">
        <v>29</v>
      </c>
      <c r="D44" s="164"/>
      <c r="E44" s="164"/>
      <c r="F44" s="164"/>
      <c r="G44" s="164"/>
      <c r="H44" s="101">
        <f>SUM(H42:H43)</f>
        <v>0</v>
      </c>
    </row>
    <row r="45" spans="1:8" s="114" customFormat="1" ht="20.100000000000001" customHeight="1">
      <c r="A45" s="45"/>
      <c r="B45" s="48" t="s">
        <v>4</v>
      </c>
      <c r="C45" s="49" t="s">
        <v>15</v>
      </c>
      <c r="D45" s="50" t="s">
        <v>16</v>
      </c>
      <c r="E45" s="51" t="s">
        <v>25</v>
      </c>
      <c r="F45" s="52" t="s">
        <v>25</v>
      </c>
      <c r="G45" s="52" t="s">
        <v>25</v>
      </c>
      <c r="H45" s="92" t="s">
        <v>25</v>
      </c>
    </row>
    <row r="46" spans="1:8" s="114" customFormat="1" ht="20.100000000000001" customHeight="1">
      <c r="A46" s="45"/>
      <c r="B46" s="37" t="s">
        <v>4</v>
      </c>
      <c r="C46" s="38" t="s">
        <v>39</v>
      </c>
      <c r="D46" s="39" t="s">
        <v>57</v>
      </c>
      <c r="E46" s="10" t="s">
        <v>25</v>
      </c>
      <c r="F46" s="11" t="s">
        <v>25</v>
      </c>
      <c r="G46" s="11" t="s">
        <v>25</v>
      </c>
      <c r="H46" s="96" t="s">
        <v>25</v>
      </c>
    </row>
    <row r="47" spans="1:8" s="84" customFormat="1" ht="30" customHeight="1">
      <c r="A47" s="45"/>
      <c r="B47" s="41">
        <f>B43+1</f>
        <v>17</v>
      </c>
      <c r="C47" s="38"/>
      <c r="D47" s="40" t="s">
        <v>78</v>
      </c>
      <c r="E47" s="1" t="s">
        <v>26</v>
      </c>
      <c r="F47" s="6">
        <f>10.2+1</f>
        <v>11.2</v>
      </c>
      <c r="G47" s="179"/>
      <c r="H47" s="99">
        <f>ROUND(F47*G47,2)</f>
        <v>0</v>
      </c>
    </row>
    <row r="48" spans="1:8" s="84" customFormat="1" ht="44.25" customHeight="1">
      <c r="A48" s="45"/>
      <c r="B48" s="41">
        <f>B47+1</f>
        <v>18</v>
      </c>
      <c r="C48" s="38"/>
      <c r="D48" s="40" t="s">
        <v>97</v>
      </c>
      <c r="E48" s="1" t="s">
        <v>26</v>
      </c>
      <c r="F48" s="6">
        <v>2</v>
      </c>
      <c r="G48" s="179"/>
      <c r="H48" s="99">
        <f>ROUND(F48*G48,2)</f>
        <v>0</v>
      </c>
    </row>
    <row r="49" spans="1:8" s="84" customFormat="1" ht="30" customHeight="1">
      <c r="A49" s="45"/>
      <c r="B49" s="41">
        <f>B48+1</f>
        <v>19</v>
      </c>
      <c r="C49" s="38"/>
      <c r="D49" s="40" t="s">
        <v>99</v>
      </c>
      <c r="E49" s="1" t="s">
        <v>26</v>
      </c>
      <c r="F49" s="6">
        <f>24+11.5+1.2</f>
        <v>36.700000000000003</v>
      </c>
      <c r="G49" s="179"/>
      <c r="H49" s="99">
        <f>ROUND(F49*G49,2)</f>
        <v>0</v>
      </c>
    </row>
    <row r="50" spans="1:8" s="84" customFormat="1" ht="44.25" customHeight="1">
      <c r="A50" s="45"/>
      <c r="B50" s="41">
        <f>B49+1</f>
        <v>20</v>
      </c>
      <c r="C50" s="38"/>
      <c r="D50" s="40" t="s">
        <v>175</v>
      </c>
      <c r="E50" s="1" t="s">
        <v>26</v>
      </c>
      <c r="F50" s="6">
        <f>9.5+5</f>
        <v>14.5</v>
      </c>
      <c r="G50" s="179"/>
      <c r="H50" s="99">
        <f>ROUND(F50*G50,2)</f>
        <v>0</v>
      </c>
    </row>
    <row r="51" spans="1:8" s="8" customFormat="1" ht="20.100000000000001" customHeight="1">
      <c r="B51" s="23" t="s">
        <v>4</v>
      </c>
      <c r="C51" s="3" t="s">
        <v>17</v>
      </c>
      <c r="D51" s="7" t="s">
        <v>18</v>
      </c>
      <c r="E51" s="10" t="s">
        <v>25</v>
      </c>
      <c r="F51" s="11" t="s">
        <v>25</v>
      </c>
      <c r="G51" s="11" t="s">
        <v>25</v>
      </c>
      <c r="H51" s="96" t="s">
        <v>25</v>
      </c>
    </row>
    <row r="52" spans="1:8" s="85" customFormat="1" ht="30" customHeight="1">
      <c r="A52" s="45"/>
      <c r="B52" s="17">
        <f>B49+1</f>
        <v>20</v>
      </c>
      <c r="C52" s="13"/>
      <c r="D52" s="14" t="s">
        <v>79</v>
      </c>
      <c r="E52" s="13" t="s">
        <v>26</v>
      </c>
      <c r="F52" s="6">
        <f>(14.7+4+1+7.5)+(7.2+19.8)</f>
        <v>54.2</v>
      </c>
      <c r="G52" s="176"/>
      <c r="H52" s="97">
        <f>ROUND(F52*G52,2)</f>
        <v>0</v>
      </c>
    </row>
    <row r="53" spans="1:8" ht="19.5" customHeight="1" thickBot="1">
      <c r="B53" s="9" t="s">
        <v>4</v>
      </c>
      <c r="C53" s="163" t="s">
        <v>28</v>
      </c>
      <c r="D53" s="164"/>
      <c r="E53" s="164"/>
      <c r="F53" s="164"/>
      <c r="G53" s="164"/>
      <c r="H53" s="101">
        <f>SUM(H47:H52)</f>
        <v>0</v>
      </c>
    </row>
    <row r="54" spans="1:8" s="24" customFormat="1" ht="26.25" customHeight="1">
      <c r="B54" s="64" t="s">
        <v>4</v>
      </c>
      <c r="C54" s="170" t="s">
        <v>71</v>
      </c>
      <c r="D54" s="171"/>
      <c r="E54" s="171"/>
      <c r="F54" s="171"/>
      <c r="G54" s="171"/>
      <c r="H54" s="102">
        <f>H14+H27+H33+H39+H44+H53</f>
        <v>0</v>
      </c>
    </row>
    <row r="55" spans="1:8" ht="27" customHeight="1">
      <c r="B55" s="63" t="s">
        <v>4</v>
      </c>
      <c r="C55" s="158" t="s">
        <v>72</v>
      </c>
      <c r="D55" s="158"/>
      <c r="E55" s="158"/>
      <c r="F55" s="158"/>
      <c r="G55" s="158"/>
      <c r="H55" s="103">
        <f>ROUND(H54*0.23,2)</f>
        <v>0</v>
      </c>
    </row>
    <row r="56" spans="1:8" ht="27" customHeight="1" thickBot="1">
      <c r="B56" s="47" t="s">
        <v>4</v>
      </c>
      <c r="C56" s="159" t="s">
        <v>69</v>
      </c>
      <c r="D56" s="159"/>
      <c r="E56" s="159"/>
      <c r="F56" s="159"/>
      <c r="G56" s="159"/>
      <c r="H56" s="104">
        <f>H54+H55</f>
        <v>0</v>
      </c>
    </row>
    <row r="57" spans="1:8" s="46" customFormat="1">
      <c r="B57" s="105"/>
      <c r="C57" s="106"/>
      <c r="D57" s="107"/>
      <c r="E57" s="107"/>
      <c r="F57" s="74"/>
      <c r="G57" s="108"/>
      <c r="H57" s="71"/>
    </row>
    <row r="58" spans="1:8">
      <c r="B58" s="109"/>
      <c r="C58" s="110"/>
      <c r="E58" s="112"/>
      <c r="G58" s="113"/>
    </row>
    <row r="59" spans="1:8">
      <c r="B59" s="109"/>
      <c r="C59" s="110"/>
      <c r="E59" s="112"/>
      <c r="G59" s="113"/>
    </row>
    <row r="60" spans="1:8">
      <c r="B60" s="109"/>
      <c r="C60" s="110"/>
      <c r="E60" s="112"/>
      <c r="G60" s="113"/>
    </row>
    <row r="61" spans="1:8">
      <c r="B61" s="109"/>
      <c r="C61" s="110"/>
      <c r="E61" s="112"/>
      <c r="G61" s="113"/>
      <c r="H61" s="36"/>
    </row>
    <row r="62" spans="1:8">
      <c r="B62" s="109"/>
      <c r="C62" s="110"/>
      <c r="E62" s="112"/>
      <c r="G62" s="113"/>
      <c r="H62" s="36"/>
    </row>
    <row r="63" spans="1:8">
      <c r="B63" s="109"/>
      <c r="C63" s="110"/>
      <c r="E63" s="112"/>
      <c r="G63" s="113"/>
    </row>
    <row r="64" spans="1:8">
      <c r="B64" s="109"/>
      <c r="C64" s="110"/>
      <c r="E64" s="112"/>
      <c r="G64" s="113"/>
    </row>
  </sheetData>
  <sheetProtection sheet="1" objects="1" scenarios="1" formatCells="0" formatColumns="0" formatRows="0" selectLockedCells="1"/>
  <mergeCells count="13">
    <mergeCell ref="B1:H1"/>
    <mergeCell ref="B2:H2"/>
    <mergeCell ref="B4:B5"/>
    <mergeCell ref="E4:F4"/>
    <mergeCell ref="C14:G14"/>
    <mergeCell ref="C27:G27"/>
    <mergeCell ref="C54:G54"/>
    <mergeCell ref="C55:G55"/>
    <mergeCell ref="C56:G56"/>
    <mergeCell ref="D33:G33"/>
    <mergeCell ref="C39:G39"/>
    <mergeCell ref="C44:G44"/>
    <mergeCell ref="C53:G53"/>
  </mergeCells>
  <printOptions horizontalCentered="1"/>
  <pageMargins left="0.82677165354330717" right="0.23622047244094491" top="0.74803149606299213" bottom="0.74803149606299213" header="0.31496062992125984" footer="0.31496062992125984"/>
  <pageSetup paperSize="9" scale="70" firstPageNumber="10" orientation="portrait" r:id="rId1"/>
  <headerFooter alignWithMargins="0"/>
  <rowBreaks count="1" manualBreakCount="1">
    <brk id="27"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E28E-0FA4-421F-B889-3139267AE28F}">
  <dimension ref="A1:M71"/>
  <sheetViews>
    <sheetView view="pageBreakPreview" topLeftCell="A34" zoomScale="80" zoomScaleNormal="100" zoomScaleSheetLayoutView="80" workbookViewId="0">
      <selection activeCell="G8" sqref="G8"/>
    </sheetView>
  </sheetViews>
  <sheetFormatPr defaultRowHeight="12.75"/>
  <cols>
    <col min="1" max="1" width="2" style="45" customWidth="1"/>
    <col min="2" max="2" width="4.42578125" style="18" customWidth="1"/>
    <col min="3" max="3" width="12.42578125" style="19" customWidth="1"/>
    <col min="4" max="4" width="56.42578125" style="111" customWidth="1"/>
    <col min="5" max="5" width="7.42578125" style="21" customWidth="1"/>
    <col min="6" max="6" width="10.140625" style="75" customWidth="1"/>
    <col min="7" max="7" width="9.7109375" style="113" customWidth="1"/>
    <col min="8" max="8" width="13.7109375" style="20" customWidth="1"/>
    <col min="9" max="16384" width="9.140625" style="15"/>
  </cols>
  <sheetData>
    <row r="1" spans="1:10" ht="64.5" customHeight="1">
      <c r="B1" s="165" t="str">
        <f>'Strona tyt.'!B26</f>
        <v>Część 3 - miejsca postojowe na osiedlu Ogrody.</v>
      </c>
      <c r="C1" s="165"/>
      <c r="D1" s="165"/>
      <c r="E1" s="165"/>
      <c r="F1" s="165"/>
      <c r="G1" s="165"/>
      <c r="H1" s="165"/>
    </row>
    <row r="2" spans="1:10" s="24" customFormat="1" ht="19.5" customHeight="1">
      <c r="B2" s="166" t="s">
        <v>19</v>
      </c>
      <c r="C2" s="167"/>
      <c r="D2" s="167"/>
      <c r="E2" s="167"/>
      <c r="F2" s="167"/>
      <c r="G2" s="167"/>
      <c r="H2" s="167"/>
    </row>
    <row r="3" spans="1:10" s="24" customFormat="1" ht="10.5" customHeight="1" thickBot="1">
      <c r="B3" s="30"/>
      <c r="C3" s="31"/>
      <c r="D3" s="135"/>
      <c r="E3" s="31"/>
      <c r="F3" s="73"/>
      <c r="G3" s="147"/>
      <c r="H3" s="35"/>
    </row>
    <row r="4" spans="1:10" s="26" customFormat="1" ht="20.100000000000001" customHeight="1">
      <c r="B4" s="168" t="s">
        <v>8</v>
      </c>
      <c r="C4" s="22" t="s">
        <v>9</v>
      </c>
      <c r="D4" s="25" t="s">
        <v>10</v>
      </c>
      <c r="E4" s="160" t="s">
        <v>11</v>
      </c>
      <c r="F4" s="160"/>
      <c r="G4" s="32" t="s">
        <v>32</v>
      </c>
      <c r="H4" s="89" t="s">
        <v>33</v>
      </c>
    </row>
    <row r="5" spans="1:10" s="26" customFormat="1" ht="27" customHeight="1">
      <c r="B5" s="169"/>
      <c r="C5" s="27" t="s">
        <v>36</v>
      </c>
      <c r="D5" s="28" t="s">
        <v>12</v>
      </c>
      <c r="E5" s="27" t="s">
        <v>13</v>
      </c>
      <c r="F5" s="29" t="s">
        <v>14</v>
      </c>
      <c r="G5" s="29" t="s">
        <v>35</v>
      </c>
      <c r="H5" s="90" t="s">
        <v>34</v>
      </c>
    </row>
    <row r="6" spans="1:10" s="8" customFormat="1" ht="20.100000000000001" customHeight="1">
      <c r="B6" s="4">
        <v>1</v>
      </c>
      <c r="C6" s="3">
        <v>2</v>
      </c>
      <c r="D6" s="3">
        <v>3</v>
      </c>
      <c r="E6" s="3">
        <v>4</v>
      </c>
      <c r="F6" s="3">
        <v>5</v>
      </c>
      <c r="G6" s="27">
        <v>6</v>
      </c>
      <c r="H6" s="91">
        <v>7</v>
      </c>
    </row>
    <row r="7" spans="1:10" s="84" customFormat="1" ht="20.100000000000001" customHeight="1">
      <c r="A7" s="83"/>
      <c r="B7" s="48" t="s">
        <v>4</v>
      </c>
      <c r="C7" s="49" t="s">
        <v>61</v>
      </c>
      <c r="D7" s="50" t="s">
        <v>48</v>
      </c>
      <c r="E7" s="51" t="s">
        <v>25</v>
      </c>
      <c r="F7" s="52" t="s">
        <v>25</v>
      </c>
      <c r="G7" s="52" t="s">
        <v>25</v>
      </c>
      <c r="H7" s="92" t="s">
        <v>25</v>
      </c>
    </row>
    <row r="8" spans="1:10" s="81" customFormat="1" ht="20.100000000000001" customHeight="1">
      <c r="B8" s="42">
        <v>1</v>
      </c>
      <c r="C8" s="3"/>
      <c r="D8" s="2" t="s">
        <v>50</v>
      </c>
      <c r="E8" s="1" t="s">
        <v>47</v>
      </c>
      <c r="F8" s="78">
        <v>1</v>
      </c>
      <c r="G8" s="181"/>
      <c r="H8" s="93">
        <f>ROUND(F8*G8,2)</f>
        <v>0</v>
      </c>
    </row>
    <row r="9" spans="1:10" s="81" customFormat="1" ht="20.100000000000001" customHeight="1">
      <c r="B9" s="42" t="s">
        <v>4</v>
      </c>
      <c r="C9" s="3"/>
      <c r="D9" s="2" t="s">
        <v>51</v>
      </c>
      <c r="E9" s="43" t="s">
        <v>25</v>
      </c>
      <c r="F9" s="87" t="s">
        <v>25</v>
      </c>
      <c r="G9" s="148" t="s">
        <v>25</v>
      </c>
      <c r="H9" s="94" t="s">
        <v>25</v>
      </c>
    </row>
    <row r="10" spans="1:10" s="81" customFormat="1" ht="20.100000000000001" customHeight="1">
      <c r="B10" s="42" t="s">
        <v>4</v>
      </c>
      <c r="C10" s="3"/>
      <c r="D10" s="2" t="s">
        <v>76</v>
      </c>
      <c r="E10" s="43" t="s">
        <v>25</v>
      </c>
      <c r="F10" s="87" t="s">
        <v>25</v>
      </c>
      <c r="G10" s="148" t="s">
        <v>25</v>
      </c>
      <c r="H10" s="94" t="s">
        <v>25</v>
      </c>
    </row>
    <row r="11" spans="1:10" s="81" customFormat="1" ht="20.100000000000001" customHeight="1">
      <c r="B11" s="42" t="s">
        <v>4</v>
      </c>
      <c r="C11" s="3"/>
      <c r="D11" s="2" t="s">
        <v>75</v>
      </c>
      <c r="E11" s="43" t="s">
        <v>25</v>
      </c>
      <c r="F11" s="87" t="s">
        <v>25</v>
      </c>
      <c r="G11" s="148" t="s">
        <v>25</v>
      </c>
      <c r="H11" s="94" t="s">
        <v>25</v>
      </c>
    </row>
    <row r="12" spans="1:10" s="81" customFormat="1" ht="20.100000000000001" customHeight="1">
      <c r="B12" s="42" t="s">
        <v>4</v>
      </c>
      <c r="C12" s="3"/>
      <c r="D12" s="2" t="s">
        <v>58</v>
      </c>
      <c r="E12" s="43" t="s">
        <v>25</v>
      </c>
      <c r="F12" s="87" t="s">
        <v>25</v>
      </c>
      <c r="G12" s="148" t="s">
        <v>25</v>
      </c>
      <c r="H12" s="94" t="s">
        <v>25</v>
      </c>
    </row>
    <row r="13" spans="1:10" s="81" customFormat="1" ht="20.100000000000001" customHeight="1">
      <c r="B13" s="42" t="s">
        <v>4</v>
      </c>
      <c r="C13" s="3"/>
      <c r="D13" s="2" t="s">
        <v>52</v>
      </c>
      <c r="E13" s="43" t="s">
        <v>25</v>
      </c>
      <c r="F13" s="87" t="s">
        <v>25</v>
      </c>
      <c r="G13" s="148" t="s">
        <v>25</v>
      </c>
      <c r="H13" s="94" t="s">
        <v>25</v>
      </c>
    </row>
    <row r="14" spans="1:10" s="81" customFormat="1" ht="20.100000000000001" customHeight="1">
      <c r="B14" s="23" t="s">
        <v>4</v>
      </c>
      <c r="C14" s="161" t="s">
        <v>49</v>
      </c>
      <c r="D14" s="161"/>
      <c r="E14" s="161"/>
      <c r="F14" s="161"/>
      <c r="G14" s="161"/>
      <c r="H14" s="95">
        <f>H8</f>
        <v>0</v>
      </c>
      <c r="J14" s="82"/>
    </row>
    <row r="15" spans="1:10" s="84" customFormat="1" ht="20.100000000000001" customHeight="1">
      <c r="A15" s="83"/>
      <c r="B15" s="48" t="s">
        <v>4</v>
      </c>
      <c r="C15" s="49" t="s">
        <v>24</v>
      </c>
      <c r="D15" s="50" t="s">
        <v>21</v>
      </c>
      <c r="E15" s="51" t="s">
        <v>25</v>
      </c>
      <c r="F15" s="52" t="s">
        <v>25</v>
      </c>
      <c r="G15" s="52" t="s">
        <v>25</v>
      </c>
      <c r="H15" s="92" t="s">
        <v>25</v>
      </c>
    </row>
    <row r="16" spans="1:10" s="81" customFormat="1" ht="19.5" customHeight="1">
      <c r="B16" s="23" t="s">
        <v>4</v>
      </c>
      <c r="C16" s="3" t="s">
        <v>20</v>
      </c>
      <c r="D16" s="7" t="s">
        <v>53</v>
      </c>
      <c r="E16" s="10" t="s">
        <v>25</v>
      </c>
      <c r="F16" s="10" t="s">
        <v>25</v>
      </c>
      <c r="G16" s="11" t="s">
        <v>25</v>
      </c>
      <c r="H16" s="96" t="s">
        <v>25</v>
      </c>
    </row>
    <row r="17" spans="1:13" s="85" customFormat="1" ht="30" customHeight="1">
      <c r="A17" s="83"/>
      <c r="B17" s="41">
        <f>B8+1</f>
        <v>2</v>
      </c>
      <c r="C17" s="66"/>
      <c r="D17" s="40" t="s">
        <v>84</v>
      </c>
      <c r="E17" s="66" t="s">
        <v>37</v>
      </c>
      <c r="F17" s="60">
        <v>1.7999999999999999E-2</v>
      </c>
      <c r="G17" s="180"/>
      <c r="H17" s="97">
        <f>ROUND(F17*G17,2)</f>
        <v>0</v>
      </c>
    </row>
    <row r="18" spans="1:13" s="81" customFormat="1" ht="20.100000000000001" customHeight="1">
      <c r="B18" s="23" t="s">
        <v>4</v>
      </c>
      <c r="C18" s="3" t="s">
        <v>22</v>
      </c>
      <c r="D18" s="7" t="s">
        <v>54</v>
      </c>
      <c r="E18" s="10" t="s">
        <v>25</v>
      </c>
      <c r="F18" s="11" t="s">
        <v>25</v>
      </c>
      <c r="G18" s="146" t="s">
        <v>25</v>
      </c>
      <c r="H18" s="96" t="s">
        <v>25</v>
      </c>
    </row>
    <row r="19" spans="1:13" s="85" customFormat="1" ht="19.5" customHeight="1">
      <c r="A19" s="83"/>
      <c r="B19" s="61">
        <f>B17+1</f>
        <v>3</v>
      </c>
      <c r="C19" s="57"/>
      <c r="D19" s="69" t="s">
        <v>77</v>
      </c>
      <c r="E19" s="58" t="s">
        <v>26</v>
      </c>
      <c r="F19" s="56">
        <v>13.7</v>
      </c>
      <c r="G19" s="183"/>
      <c r="H19" s="98">
        <f>ROUND(F19*G19,2)</f>
        <v>0</v>
      </c>
    </row>
    <row r="20" spans="1:13" s="85" customFormat="1" ht="19.5" customHeight="1">
      <c r="A20" s="83"/>
      <c r="B20" s="61">
        <f>B19+1</f>
        <v>4</v>
      </c>
      <c r="C20" s="57"/>
      <c r="D20" s="69" t="s">
        <v>138</v>
      </c>
      <c r="E20" s="58" t="s">
        <v>0</v>
      </c>
      <c r="F20" s="56">
        <v>98</v>
      </c>
      <c r="G20" s="183"/>
      <c r="H20" s="98">
        <f>ROUND(F20*G20,2)</f>
        <v>0</v>
      </c>
    </row>
    <row r="21" spans="1:13" s="81" customFormat="1" ht="19.5" customHeight="1">
      <c r="B21" s="61">
        <f>B20+1</f>
        <v>5</v>
      </c>
      <c r="C21" s="1"/>
      <c r="D21" s="2" t="s">
        <v>155</v>
      </c>
      <c r="E21" s="1" t="s">
        <v>60</v>
      </c>
      <c r="F21" s="6">
        <f>(F19*0.03+F20*0.1)*2.2</f>
        <v>22.464200000000002</v>
      </c>
      <c r="G21" s="184"/>
      <c r="H21" s="98">
        <f>ROUND(F21*G21,2)</f>
        <v>0</v>
      </c>
    </row>
    <row r="22" spans="1:13" s="81" customFormat="1" ht="20.100000000000001" customHeight="1">
      <c r="B22" s="23" t="s">
        <v>4</v>
      </c>
      <c r="C22" s="161" t="s">
        <v>31</v>
      </c>
      <c r="D22" s="161"/>
      <c r="E22" s="161"/>
      <c r="F22" s="161"/>
      <c r="G22" s="161"/>
      <c r="H22" s="95">
        <f>SUM(H17:H21)</f>
        <v>0</v>
      </c>
    </row>
    <row r="23" spans="1:13" s="84" customFormat="1" ht="20.100000000000001" customHeight="1">
      <c r="A23" s="83"/>
      <c r="B23" s="48" t="s">
        <v>4</v>
      </c>
      <c r="C23" s="49" t="s">
        <v>86</v>
      </c>
      <c r="D23" s="50" t="s">
        <v>40</v>
      </c>
      <c r="E23" s="51" t="s">
        <v>25</v>
      </c>
      <c r="F23" s="52" t="s">
        <v>25</v>
      </c>
      <c r="G23" s="145" t="s">
        <v>25</v>
      </c>
      <c r="H23" s="92" t="s">
        <v>25</v>
      </c>
    </row>
    <row r="24" spans="1:13" s="81" customFormat="1" ht="20.100000000000001" customHeight="1">
      <c r="B24" s="23" t="s">
        <v>4</v>
      </c>
      <c r="C24" s="3" t="s">
        <v>41</v>
      </c>
      <c r="D24" s="7" t="s">
        <v>55</v>
      </c>
      <c r="E24" s="10" t="s">
        <v>25</v>
      </c>
      <c r="F24" s="11" t="s">
        <v>25</v>
      </c>
      <c r="G24" s="146" t="s">
        <v>25</v>
      </c>
      <c r="H24" s="96" t="s">
        <v>25</v>
      </c>
    </row>
    <row r="25" spans="1:13" s="85" customFormat="1" ht="28.5" customHeight="1">
      <c r="A25" s="83"/>
      <c r="B25" s="17">
        <f>B21+1</f>
        <v>6</v>
      </c>
      <c r="C25" s="13"/>
      <c r="D25" s="14" t="s">
        <v>139</v>
      </c>
      <c r="E25" s="13" t="s">
        <v>27</v>
      </c>
      <c r="F25" s="6">
        <f>0.25*86</f>
        <v>21.5</v>
      </c>
      <c r="G25" s="184"/>
      <c r="H25" s="99">
        <f>ROUND(F25*G25,2)</f>
        <v>0</v>
      </c>
    </row>
    <row r="26" spans="1:13" s="85" customFormat="1" ht="19.5" customHeight="1">
      <c r="A26" s="83"/>
      <c r="B26" s="17">
        <f>B25+1</f>
        <v>7</v>
      </c>
      <c r="C26" s="13"/>
      <c r="D26" s="14" t="s">
        <v>62</v>
      </c>
      <c r="E26" s="13" t="s">
        <v>27</v>
      </c>
      <c r="F26" s="6">
        <f>F25</f>
        <v>21.5</v>
      </c>
      <c r="G26" s="184"/>
      <c r="H26" s="99">
        <f>ROUND(F26*G26,2)</f>
        <v>0</v>
      </c>
    </row>
    <row r="27" spans="1:13" s="85" customFormat="1" ht="19.5" customHeight="1">
      <c r="A27" s="83"/>
      <c r="B27" s="17">
        <f>B26+1</f>
        <v>8</v>
      </c>
      <c r="C27" s="13"/>
      <c r="D27" s="14" t="s">
        <v>156</v>
      </c>
      <c r="E27" s="13" t="s">
        <v>60</v>
      </c>
      <c r="F27" s="6">
        <f>(F25)*2</f>
        <v>43</v>
      </c>
      <c r="G27" s="184"/>
      <c r="H27" s="99">
        <f>ROUND(F27*G27,2)</f>
        <v>0</v>
      </c>
    </row>
    <row r="28" spans="1:13" s="81" customFormat="1" ht="20.100000000000001" customHeight="1">
      <c r="B28" s="23" t="s">
        <v>4</v>
      </c>
      <c r="C28" s="1"/>
      <c r="D28" s="162" t="s">
        <v>42</v>
      </c>
      <c r="E28" s="162"/>
      <c r="F28" s="162"/>
      <c r="G28" s="162"/>
      <c r="H28" s="95">
        <f>SUM(H25:H27)</f>
        <v>0</v>
      </c>
    </row>
    <row r="29" spans="1:13" s="84" customFormat="1" ht="20.100000000000001" customHeight="1">
      <c r="A29" s="83"/>
      <c r="B29" s="48" t="s">
        <v>4</v>
      </c>
      <c r="C29" s="49" t="s">
        <v>5</v>
      </c>
      <c r="D29" s="50" t="s">
        <v>6</v>
      </c>
      <c r="E29" s="51" t="s">
        <v>25</v>
      </c>
      <c r="F29" s="52" t="s">
        <v>25</v>
      </c>
      <c r="G29" s="145" t="s">
        <v>25</v>
      </c>
      <c r="H29" s="92" t="s">
        <v>25</v>
      </c>
    </row>
    <row r="30" spans="1:13" s="81" customFormat="1" ht="20.100000000000001" customHeight="1">
      <c r="B30" s="23" t="s">
        <v>4</v>
      </c>
      <c r="C30" s="3" t="s">
        <v>7</v>
      </c>
      <c r="D30" s="7" t="s">
        <v>23</v>
      </c>
      <c r="E30" s="10" t="s">
        <v>25</v>
      </c>
      <c r="F30" s="11" t="s">
        <v>25</v>
      </c>
      <c r="G30" s="149" t="s">
        <v>38</v>
      </c>
      <c r="H30" s="100" t="s">
        <v>38</v>
      </c>
    </row>
    <row r="31" spans="1:13" s="85" customFormat="1" ht="30" customHeight="1">
      <c r="A31" s="83"/>
      <c r="B31" s="17">
        <f>B27+1</f>
        <v>9</v>
      </c>
      <c r="C31" s="38"/>
      <c r="D31" s="40" t="s">
        <v>140</v>
      </c>
      <c r="E31" s="66" t="s">
        <v>0</v>
      </c>
      <c r="F31" s="6">
        <f>F39+F40</f>
        <v>83.8</v>
      </c>
      <c r="G31" s="180"/>
      <c r="H31" s="97">
        <f>ROUND(F31*G31,2)</f>
        <v>0</v>
      </c>
    </row>
    <row r="32" spans="1:13" s="8" customFormat="1" ht="18.75" customHeight="1">
      <c r="B32" s="23" t="s">
        <v>4</v>
      </c>
      <c r="C32" s="3" t="s">
        <v>142</v>
      </c>
      <c r="D32" s="7" t="s">
        <v>143</v>
      </c>
      <c r="E32" s="10" t="s">
        <v>25</v>
      </c>
      <c r="F32" s="11" t="s">
        <v>25</v>
      </c>
      <c r="G32" s="11" t="s">
        <v>25</v>
      </c>
      <c r="H32" s="121" t="s">
        <v>25</v>
      </c>
      <c r="J32" s="115"/>
      <c r="K32" s="115"/>
      <c r="L32" s="115"/>
      <c r="M32" s="115"/>
    </row>
    <row r="33" spans="1:13" ht="30" customHeight="1">
      <c r="B33" s="9">
        <f>B31+1</f>
        <v>10</v>
      </c>
      <c r="C33" s="13"/>
      <c r="D33" s="14" t="s">
        <v>144</v>
      </c>
      <c r="E33" s="13" t="s">
        <v>0</v>
      </c>
      <c r="F33" s="6">
        <f>F31</f>
        <v>83.8</v>
      </c>
      <c r="G33" s="180"/>
      <c r="H33" s="131">
        <f>F33*G33</f>
        <v>0</v>
      </c>
      <c r="I33" s="150"/>
      <c r="J33" s="133"/>
      <c r="K33" s="133"/>
      <c r="L33" s="133"/>
      <c r="M33" s="133"/>
    </row>
    <row r="34" spans="1:13" s="85" customFormat="1" ht="21" customHeight="1">
      <c r="A34" s="83"/>
      <c r="B34" s="9" t="s">
        <v>4</v>
      </c>
      <c r="C34" s="16" t="s">
        <v>87</v>
      </c>
      <c r="D34" s="12" t="s">
        <v>81</v>
      </c>
      <c r="E34" s="10" t="s">
        <v>25</v>
      </c>
      <c r="F34" s="11" t="s">
        <v>25</v>
      </c>
      <c r="G34" s="146" t="s">
        <v>25</v>
      </c>
      <c r="H34" s="96" t="s">
        <v>25</v>
      </c>
    </row>
    <row r="35" spans="1:13" s="85" customFormat="1" ht="30" customHeight="1">
      <c r="A35" s="83"/>
      <c r="B35" s="9">
        <f>B33+1</f>
        <v>11</v>
      </c>
      <c r="C35" s="16"/>
      <c r="D35" s="14" t="s">
        <v>141</v>
      </c>
      <c r="E35" s="13" t="s">
        <v>0</v>
      </c>
      <c r="F35" s="67">
        <f>F31</f>
        <v>83.8</v>
      </c>
      <c r="G35" s="181"/>
      <c r="H35" s="93">
        <f>ROUND(F35*G35,2)</f>
        <v>0</v>
      </c>
    </row>
    <row r="36" spans="1:13" s="85" customFormat="1" ht="19.5" customHeight="1">
      <c r="A36" s="83"/>
      <c r="B36" s="9" t="s">
        <v>4</v>
      </c>
      <c r="C36" s="163" t="s">
        <v>30</v>
      </c>
      <c r="D36" s="164"/>
      <c r="E36" s="164"/>
      <c r="F36" s="164"/>
      <c r="G36" s="164"/>
      <c r="H36" s="101">
        <f>SUM(H31:H35)</f>
        <v>0</v>
      </c>
    </row>
    <row r="37" spans="1:13" s="84" customFormat="1" ht="20.100000000000001" customHeight="1">
      <c r="A37" s="83"/>
      <c r="B37" s="48" t="s">
        <v>4</v>
      </c>
      <c r="C37" s="49" t="s">
        <v>1</v>
      </c>
      <c r="D37" s="50" t="s">
        <v>2</v>
      </c>
      <c r="E37" s="51" t="s">
        <v>25</v>
      </c>
      <c r="F37" s="52" t="s">
        <v>25</v>
      </c>
      <c r="G37" s="145" t="s">
        <v>25</v>
      </c>
      <c r="H37" s="92" t="s">
        <v>25</v>
      </c>
    </row>
    <row r="38" spans="1:13" s="81" customFormat="1" ht="20.100000000000001" customHeight="1">
      <c r="B38" s="23" t="s">
        <v>4</v>
      </c>
      <c r="C38" s="3" t="s">
        <v>3</v>
      </c>
      <c r="D38" s="7" t="s">
        <v>56</v>
      </c>
      <c r="E38" s="10" t="s">
        <v>25</v>
      </c>
      <c r="F38" s="11" t="s">
        <v>25</v>
      </c>
      <c r="G38" s="146" t="s">
        <v>25</v>
      </c>
      <c r="H38" s="96" t="s">
        <v>25</v>
      </c>
    </row>
    <row r="39" spans="1:13" s="85" customFormat="1" ht="30" customHeight="1">
      <c r="A39" s="83"/>
      <c r="B39" s="61">
        <f>B35+1</f>
        <v>12</v>
      </c>
      <c r="C39" s="58"/>
      <c r="D39" s="34" t="s">
        <v>145</v>
      </c>
      <c r="E39" s="59" t="s">
        <v>0</v>
      </c>
      <c r="F39" s="56">
        <f>13.2+2.6</f>
        <v>15.799999999999999</v>
      </c>
      <c r="G39" s="182"/>
      <c r="H39" s="97">
        <f>ROUND(F39*G39,2)</f>
        <v>0</v>
      </c>
    </row>
    <row r="40" spans="1:13" s="85" customFormat="1" ht="39" customHeight="1">
      <c r="A40" s="83"/>
      <c r="B40" s="61">
        <f>B39+1</f>
        <v>13</v>
      </c>
      <c r="C40" s="58"/>
      <c r="D40" s="34" t="s">
        <v>146</v>
      </c>
      <c r="E40" s="59" t="s">
        <v>27</v>
      </c>
      <c r="F40" s="56">
        <v>68</v>
      </c>
      <c r="G40" s="182"/>
      <c r="H40" s="97">
        <f>ROUND(F40*G40,2)</f>
        <v>0</v>
      </c>
    </row>
    <row r="41" spans="1:13" s="85" customFormat="1" ht="19.5" customHeight="1">
      <c r="A41" s="83"/>
      <c r="B41" s="17" t="s">
        <v>4</v>
      </c>
      <c r="C41" s="163" t="s">
        <v>29</v>
      </c>
      <c r="D41" s="164"/>
      <c r="E41" s="164"/>
      <c r="F41" s="164"/>
      <c r="G41" s="164"/>
      <c r="H41" s="101">
        <f>SUM(H39:H40)</f>
        <v>0</v>
      </c>
    </row>
    <row r="42" spans="1:13" s="114" customFormat="1" ht="20.100000000000001" customHeight="1">
      <c r="A42" s="45"/>
      <c r="B42" s="138" t="s">
        <v>4</v>
      </c>
      <c r="C42" s="49" t="s">
        <v>122</v>
      </c>
      <c r="D42" s="50" t="s">
        <v>123</v>
      </c>
      <c r="E42" s="51" t="s">
        <v>25</v>
      </c>
      <c r="F42" s="52" t="s">
        <v>25</v>
      </c>
      <c r="G42" s="52" t="s">
        <v>25</v>
      </c>
      <c r="H42" s="139" t="s">
        <v>25</v>
      </c>
      <c r="I42" s="140"/>
      <c r="J42" s="120"/>
      <c r="K42" s="120"/>
      <c r="L42" s="120"/>
      <c r="M42" s="120"/>
    </row>
    <row r="43" spans="1:13" s="8" customFormat="1" ht="15" customHeight="1">
      <c r="B43" s="23" t="s">
        <v>4</v>
      </c>
      <c r="C43" s="3" t="s">
        <v>124</v>
      </c>
      <c r="D43" s="141" t="s">
        <v>125</v>
      </c>
      <c r="E43" s="10" t="s">
        <v>25</v>
      </c>
      <c r="F43" s="11" t="s">
        <v>25</v>
      </c>
      <c r="G43" s="11" t="s">
        <v>25</v>
      </c>
      <c r="H43" s="121" t="s">
        <v>25</v>
      </c>
      <c r="J43" s="115"/>
      <c r="K43" s="115"/>
      <c r="L43" s="115"/>
      <c r="M43" s="115"/>
    </row>
    <row r="44" spans="1:13" s="8" customFormat="1" ht="15" customHeight="1">
      <c r="B44" s="9">
        <f>B40+1</f>
        <v>14</v>
      </c>
      <c r="C44" s="1"/>
      <c r="D44" s="142" t="s">
        <v>159</v>
      </c>
      <c r="E44" s="1" t="s">
        <v>0</v>
      </c>
      <c r="F44" s="6">
        <v>1.8</v>
      </c>
      <c r="G44" s="184"/>
      <c r="H44" s="123">
        <f>F44*G44</f>
        <v>0</v>
      </c>
      <c r="J44" s="115"/>
      <c r="K44" s="115"/>
      <c r="L44" s="115"/>
      <c r="M44" s="115"/>
    </row>
    <row r="45" spans="1:13" s="8" customFormat="1" ht="20.100000000000001" customHeight="1">
      <c r="B45" s="9">
        <f>B44+1</f>
        <v>15</v>
      </c>
      <c r="C45" s="3"/>
      <c r="D45" s="142" t="s">
        <v>157</v>
      </c>
      <c r="E45" s="1" t="s">
        <v>0</v>
      </c>
      <c r="F45" s="151">
        <v>0.76</v>
      </c>
      <c r="G45" s="184"/>
      <c r="H45" s="123">
        <f>F45*G45</f>
        <v>0</v>
      </c>
      <c r="J45" s="115"/>
      <c r="K45" s="115"/>
      <c r="L45" s="115"/>
      <c r="M45" s="115"/>
    </row>
    <row r="46" spans="1:13" s="8" customFormat="1" ht="25.5" customHeight="1">
      <c r="B46" s="9">
        <f>B45+1</f>
        <v>16</v>
      </c>
      <c r="C46" s="3"/>
      <c r="D46" s="142" t="s">
        <v>158</v>
      </c>
      <c r="E46" s="1" t="s">
        <v>0</v>
      </c>
      <c r="F46" s="151">
        <f>3.6*5</f>
        <v>18</v>
      </c>
      <c r="G46" s="184"/>
      <c r="H46" s="123">
        <f>F46*G46</f>
        <v>0</v>
      </c>
      <c r="J46" s="115"/>
      <c r="K46" s="115"/>
      <c r="L46" s="115"/>
      <c r="M46" s="115"/>
    </row>
    <row r="47" spans="1:13" s="8" customFormat="1" ht="20.100000000000001" customHeight="1">
      <c r="B47" s="23" t="s">
        <v>4</v>
      </c>
      <c r="C47" s="3" t="s">
        <v>129</v>
      </c>
      <c r="D47" s="141" t="s">
        <v>130</v>
      </c>
      <c r="E47" s="10" t="s">
        <v>25</v>
      </c>
      <c r="F47" s="11" t="s">
        <v>25</v>
      </c>
      <c r="G47" s="11" t="s">
        <v>25</v>
      </c>
      <c r="H47" s="121" t="s">
        <v>25</v>
      </c>
      <c r="J47" s="115"/>
      <c r="K47" s="115"/>
      <c r="L47" s="115"/>
      <c r="M47" s="115"/>
    </row>
    <row r="48" spans="1:13" s="8" customFormat="1" ht="20.100000000000001" customHeight="1">
      <c r="B48" s="9">
        <f>B46+1</f>
        <v>17</v>
      </c>
      <c r="C48" s="143"/>
      <c r="D48" s="2" t="s">
        <v>132</v>
      </c>
      <c r="E48" s="1" t="s">
        <v>103</v>
      </c>
      <c r="F48" s="122">
        <v>1</v>
      </c>
      <c r="G48" s="184"/>
      <c r="H48" s="123">
        <f>F48*G48</f>
        <v>0</v>
      </c>
      <c r="J48" s="115"/>
      <c r="K48" s="115"/>
      <c r="L48" s="115"/>
      <c r="M48" s="115"/>
    </row>
    <row r="49" spans="1:13" s="8" customFormat="1" ht="20.100000000000001" customHeight="1">
      <c r="B49" s="23" t="s">
        <v>4</v>
      </c>
      <c r="C49" s="144"/>
      <c r="D49" s="141" t="s">
        <v>133</v>
      </c>
      <c r="E49" s="10" t="s">
        <v>25</v>
      </c>
      <c r="F49" s="11" t="s">
        <v>25</v>
      </c>
      <c r="G49" s="11" t="s">
        <v>25</v>
      </c>
      <c r="H49" s="121" t="s">
        <v>25</v>
      </c>
      <c r="J49" s="115"/>
      <c r="K49" s="115"/>
      <c r="L49" s="115"/>
      <c r="M49" s="115"/>
    </row>
    <row r="50" spans="1:13" s="8" customFormat="1" ht="20.100000000000001" customHeight="1">
      <c r="B50" s="9">
        <f>B48+1</f>
        <v>18</v>
      </c>
      <c r="C50" s="143"/>
      <c r="D50" s="2" t="s">
        <v>135</v>
      </c>
      <c r="E50" s="1" t="s">
        <v>103</v>
      </c>
      <c r="F50" s="122">
        <v>2</v>
      </c>
      <c r="G50" s="184"/>
      <c r="H50" s="123">
        <f>F50*G50</f>
        <v>0</v>
      </c>
      <c r="J50" s="115"/>
      <c r="K50" s="115"/>
      <c r="L50" s="115"/>
      <c r="M50" s="115"/>
    </row>
    <row r="51" spans="1:13" s="8" customFormat="1" ht="20.100000000000001" customHeight="1">
      <c r="B51" s="23" t="s">
        <v>4</v>
      </c>
      <c r="C51" s="143"/>
      <c r="D51" s="162" t="s">
        <v>136</v>
      </c>
      <c r="E51" s="162"/>
      <c r="F51" s="162"/>
      <c r="G51" s="162"/>
      <c r="H51" s="124">
        <f>SUM(H44:H50)</f>
        <v>0</v>
      </c>
      <c r="J51" s="115"/>
      <c r="K51" s="115"/>
      <c r="L51" s="115"/>
      <c r="M51" s="115"/>
    </row>
    <row r="52" spans="1:13" s="84" customFormat="1" ht="20.100000000000001" customHeight="1">
      <c r="A52" s="83"/>
      <c r="B52" s="48" t="s">
        <v>4</v>
      </c>
      <c r="C52" s="49" t="s">
        <v>15</v>
      </c>
      <c r="D52" s="50" t="s">
        <v>16</v>
      </c>
      <c r="E52" s="51" t="s">
        <v>25</v>
      </c>
      <c r="F52" s="52" t="s">
        <v>25</v>
      </c>
      <c r="G52" s="145" t="s">
        <v>25</v>
      </c>
      <c r="H52" s="92" t="s">
        <v>25</v>
      </c>
    </row>
    <row r="53" spans="1:13" s="84" customFormat="1" ht="20.100000000000001" customHeight="1">
      <c r="A53" s="83"/>
      <c r="B53" s="37" t="s">
        <v>4</v>
      </c>
      <c r="C53" s="38" t="s">
        <v>39</v>
      </c>
      <c r="D53" s="39" t="s">
        <v>57</v>
      </c>
      <c r="E53" s="10" t="s">
        <v>25</v>
      </c>
      <c r="F53" s="11" t="s">
        <v>25</v>
      </c>
      <c r="G53" s="146" t="s">
        <v>25</v>
      </c>
      <c r="H53" s="96" t="s">
        <v>25</v>
      </c>
    </row>
    <row r="54" spans="1:13" s="84" customFormat="1" ht="30" customHeight="1">
      <c r="A54" s="83"/>
      <c r="B54" s="41">
        <f>B50+1</f>
        <v>19</v>
      </c>
      <c r="C54" s="38"/>
      <c r="D54" s="40" t="s">
        <v>78</v>
      </c>
      <c r="E54" s="1" t="s">
        <v>26</v>
      </c>
      <c r="F54" s="6">
        <f>5+6.1</f>
        <v>11.1</v>
      </c>
      <c r="G54" s="184"/>
      <c r="H54" s="99">
        <f>ROUND(F54*G54,2)</f>
        <v>0</v>
      </c>
    </row>
    <row r="55" spans="1:13" s="84" customFormat="1" ht="30" customHeight="1">
      <c r="A55" s="45"/>
      <c r="B55" s="41">
        <f>B54+1</f>
        <v>20</v>
      </c>
      <c r="C55" s="38"/>
      <c r="D55" s="40" t="s">
        <v>99</v>
      </c>
      <c r="E55" s="1" t="s">
        <v>26</v>
      </c>
      <c r="F55" s="6">
        <f>5+2.5+6</f>
        <v>13.5</v>
      </c>
      <c r="G55" s="184"/>
      <c r="H55" s="99">
        <f>ROUND(F55*G55,2)</f>
        <v>0</v>
      </c>
    </row>
    <row r="56" spans="1:13" s="81" customFormat="1" ht="20.100000000000001" customHeight="1">
      <c r="B56" s="23" t="s">
        <v>4</v>
      </c>
      <c r="C56" s="3" t="s">
        <v>17</v>
      </c>
      <c r="D56" s="7" t="s">
        <v>18</v>
      </c>
      <c r="E56" s="10" t="s">
        <v>25</v>
      </c>
      <c r="F56" s="11" t="s">
        <v>25</v>
      </c>
      <c r="G56" s="146" t="s">
        <v>25</v>
      </c>
      <c r="H56" s="96" t="s">
        <v>25</v>
      </c>
    </row>
    <row r="57" spans="1:13" s="85" customFormat="1" ht="30" customHeight="1">
      <c r="A57" s="83"/>
      <c r="B57" s="17">
        <f>B55+1</f>
        <v>21</v>
      </c>
      <c r="C57" s="13"/>
      <c r="D57" s="14" t="s">
        <v>79</v>
      </c>
      <c r="E57" s="13" t="s">
        <v>26</v>
      </c>
      <c r="F57" s="6">
        <f>1+1+2.5+1</f>
        <v>5.5</v>
      </c>
      <c r="G57" s="180"/>
      <c r="H57" s="97">
        <f>ROUND(F57*G57,2)</f>
        <v>0</v>
      </c>
    </row>
    <row r="58" spans="1:13" s="85" customFormat="1" ht="19.5" customHeight="1">
      <c r="A58" s="83"/>
      <c r="B58" s="9" t="s">
        <v>4</v>
      </c>
      <c r="C58" s="163" t="s">
        <v>28</v>
      </c>
      <c r="D58" s="164"/>
      <c r="E58" s="164"/>
      <c r="F58" s="164"/>
      <c r="G58" s="164"/>
      <c r="H58" s="101">
        <f>SUM(H54:H57)</f>
        <v>0</v>
      </c>
    </row>
    <row r="59" spans="1:13" s="84" customFormat="1" ht="20.100000000000001" customHeight="1">
      <c r="A59" s="83"/>
      <c r="B59" s="48" t="s">
        <v>4</v>
      </c>
      <c r="C59" s="49" t="s">
        <v>43</v>
      </c>
      <c r="D59" s="50" t="s">
        <v>44</v>
      </c>
      <c r="E59" s="51" t="s">
        <v>25</v>
      </c>
      <c r="F59" s="52" t="s">
        <v>25</v>
      </c>
      <c r="G59" s="145" t="s">
        <v>25</v>
      </c>
      <c r="H59" s="92" t="s">
        <v>25</v>
      </c>
    </row>
    <row r="60" spans="1:13" s="81" customFormat="1" ht="20.100000000000001" customHeight="1">
      <c r="B60" s="23" t="s">
        <v>4</v>
      </c>
      <c r="C60" s="3" t="s">
        <v>45</v>
      </c>
      <c r="D60" s="44" t="s">
        <v>59</v>
      </c>
      <c r="E60" s="10" t="s">
        <v>25</v>
      </c>
      <c r="F60" s="11" t="s">
        <v>25</v>
      </c>
      <c r="G60" s="146" t="s">
        <v>25</v>
      </c>
      <c r="H60" s="96" t="s">
        <v>25</v>
      </c>
    </row>
    <row r="61" spans="1:13" s="81" customFormat="1" ht="30" customHeight="1">
      <c r="B61" s="9">
        <f>B57+1</f>
        <v>22</v>
      </c>
      <c r="C61" s="1"/>
      <c r="D61" s="2" t="s">
        <v>63</v>
      </c>
      <c r="E61" s="1" t="s">
        <v>0</v>
      </c>
      <c r="F61" s="6">
        <f>6.4+4.6</f>
        <v>11</v>
      </c>
      <c r="G61" s="184"/>
      <c r="H61" s="99">
        <f>ROUND(F61*G61,2)</f>
        <v>0</v>
      </c>
    </row>
    <row r="62" spans="1:13" s="8" customFormat="1" ht="20.100000000000001" customHeight="1" thickBot="1">
      <c r="B62" s="23" t="s">
        <v>4</v>
      </c>
      <c r="C62" s="172" t="s">
        <v>46</v>
      </c>
      <c r="D62" s="173"/>
      <c r="E62" s="173"/>
      <c r="F62" s="173"/>
      <c r="G62" s="174"/>
      <c r="H62" s="95">
        <f>SUM(H61:H61)</f>
        <v>0</v>
      </c>
    </row>
    <row r="63" spans="1:13" s="86" customFormat="1" ht="26.25" customHeight="1">
      <c r="B63" s="64" t="s">
        <v>4</v>
      </c>
      <c r="C63" s="170" t="s">
        <v>71</v>
      </c>
      <c r="D63" s="171"/>
      <c r="E63" s="171"/>
      <c r="F63" s="171"/>
      <c r="G63" s="171"/>
      <c r="H63" s="102">
        <f>H14+H22+H28+H36+H41+H51+H58+H62</f>
        <v>0</v>
      </c>
    </row>
    <row r="64" spans="1:13" s="85" customFormat="1" ht="27" customHeight="1">
      <c r="A64" s="83"/>
      <c r="B64" s="63" t="s">
        <v>4</v>
      </c>
      <c r="C64" s="158" t="s">
        <v>72</v>
      </c>
      <c r="D64" s="158"/>
      <c r="E64" s="158"/>
      <c r="F64" s="158"/>
      <c r="G64" s="158"/>
      <c r="H64" s="103">
        <f>ROUND(H63*0.23,2)</f>
        <v>0</v>
      </c>
    </row>
    <row r="65" spans="1:8" s="85" customFormat="1" ht="27" customHeight="1" thickBot="1">
      <c r="A65" s="83"/>
      <c r="B65" s="47" t="s">
        <v>4</v>
      </c>
      <c r="C65" s="159" t="s">
        <v>69</v>
      </c>
      <c r="D65" s="159"/>
      <c r="E65" s="159"/>
      <c r="F65" s="159"/>
      <c r="G65" s="159"/>
      <c r="H65" s="104">
        <f>H63+H64</f>
        <v>0</v>
      </c>
    </row>
    <row r="66" spans="1:8" s="46" customFormat="1">
      <c r="B66" s="53"/>
      <c r="C66" s="54"/>
      <c r="D66" s="107"/>
      <c r="E66" s="70"/>
      <c r="F66" s="74"/>
      <c r="G66" s="108"/>
      <c r="H66" s="71"/>
    </row>
    <row r="70" spans="1:8">
      <c r="H70" s="36"/>
    </row>
    <row r="71" spans="1:8">
      <c r="H71" s="36"/>
    </row>
  </sheetData>
  <sheetProtection sheet="1" objects="1" scenarios="1" formatCells="0" formatColumns="0" formatRows="0" selectLockedCells="1"/>
  <mergeCells count="15">
    <mergeCell ref="B1:H1"/>
    <mergeCell ref="B2:H2"/>
    <mergeCell ref="B4:B5"/>
    <mergeCell ref="E4:F4"/>
    <mergeCell ref="C62:G62"/>
    <mergeCell ref="C63:G63"/>
    <mergeCell ref="D51:G51"/>
    <mergeCell ref="C64:G64"/>
    <mergeCell ref="C65:G65"/>
    <mergeCell ref="C14:G14"/>
    <mergeCell ref="C22:G22"/>
    <mergeCell ref="D28:G28"/>
    <mergeCell ref="C36:G36"/>
    <mergeCell ref="C41:G41"/>
    <mergeCell ref="C58:G58"/>
  </mergeCells>
  <printOptions horizontalCentered="1"/>
  <pageMargins left="0.82677165354330717" right="0.23622047244094491" top="0.74803149606299213" bottom="0.74803149606299213" header="0.31496062992125984" footer="0.31496062992125984"/>
  <pageSetup paperSize="9" scale="70" firstPageNumber="10" orientation="portrait" r:id="rId1"/>
  <headerFooter alignWithMargins="0"/>
  <rowBreaks count="1" manualBreakCount="1">
    <brk id="2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7</vt:i4>
      </vt:variant>
    </vt:vector>
  </HeadingPairs>
  <TitlesOfParts>
    <vt:vector size="11" baseType="lpstr">
      <vt:lpstr>Strona tyt.</vt:lpstr>
      <vt:lpstr>Część 1</vt:lpstr>
      <vt:lpstr>Część 2</vt:lpstr>
      <vt:lpstr>Część 3</vt:lpstr>
      <vt:lpstr>'Część 1'!Obszar_wydruku</vt:lpstr>
      <vt:lpstr>'Część 2'!Obszar_wydruku</vt:lpstr>
      <vt:lpstr>'Część 3'!Obszar_wydruku</vt:lpstr>
      <vt:lpstr>'Strona tyt.'!Obszar_wydruku</vt:lpstr>
      <vt:lpstr>'Część 1'!Tytuły_wydruku</vt:lpstr>
      <vt:lpstr>'Część 2'!Tytuły_wydruku</vt:lpstr>
      <vt:lpstr>'Część 3'!Tytuły_wydruku</vt:lpstr>
    </vt:vector>
  </TitlesOfParts>
  <Company>Arcadis Sp. z 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rmocarski</dc:creator>
  <cp:lastModifiedBy>Adamski Maciej</cp:lastModifiedBy>
  <cp:lastPrinted>2024-09-26T12:15:40Z</cp:lastPrinted>
  <dcterms:created xsi:type="dcterms:W3CDTF">2009-09-25T07:21:03Z</dcterms:created>
  <dcterms:modified xsi:type="dcterms:W3CDTF">2024-09-26T12:41:29Z</dcterms:modified>
</cp:coreProperties>
</file>